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5235" windowHeight="7260" activeTab="1"/>
  </bookViews>
  <sheets>
    <sheet name="delcho-5" sheetId="1" r:id="rId1"/>
    <sheet name="delcho-6" sheetId="2" r:id="rId2"/>
    <sheet name="Delcho-7" sheetId="3" r:id="rId3"/>
  </sheets>
  <calcPr calcId="125725"/>
</workbook>
</file>

<file path=xl/calcChain.xml><?xml version="1.0" encoding="utf-8"?>
<calcChain xmlns="http://schemas.openxmlformats.org/spreadsheetml/2006/main">
  <c r="B28" i="2"/>
  <c r="H3"/>
  <c r="H20"/>
  <c r="D36" l="1"/>
  <c r="B36"/>
  <c r="B35"/>
  <c r="B34"/>
  <c r="B31"/>
  <c r="B30"/>
  <c r="G20"/>
  <c r="G4"/>
  <c r="G5"/>
  <c r="G6"/>
  <c r="G7"/>
  <c r="G8"/>
  <c r="G9"/>
  <c r="G10"/>
  <c r="G11"/>
  <c r="G12"/>
  <c r="G13"/>
  <c r="G14"/>
  <c r="G15"/>
  <c r="G16"/>
  <c r="G17"/>
  <c r="G18"/>
  <c r="G19"/>
  <c r="G3"/>
  <c r="E19"/>
  <c r="W27" i="3"/>
  <c r="W28"/>
  <c r="W29"/>
  <c r="W30"/>
  <c r="W31"/>
  <c r="W32"/>
  <c r="W33"/>
  <c r="W34"/>
  <c r="W35"/>
  <c r="W26"/>
  <c r="P26"/>
  <c r="W36"/>
  <c r="S27"/>
  <c r="S28"/>
  <c r="S29"/>
  <c r="S30"/>
  <c r="S31"/>
  <c r="S32"/>
  <c r="S33"/>
  <c r="S34"/>
  <c r="S35"/>
  <c r="S36"/>
  <c r="S37"/>
  <c r="S38"/>
  <c r="S39"/>
  <c r="S40"/>
  <c r="S41"/>
  <c r="S26"/>
  <c r="R41"/>
  <c r="R40"/>
  <c r="R39"/>
  <c r="R38"/>
  <c r="R37"/>
  <c r="R36"/>
  <c r="R35"/>
  <c r="R34"/>
  <c r="R33"/>
  <c r="R32"/>
  <c r="R31"/>
  <c r="R30"/>
  <c r="R29"/>
  <c r="R28"/>
  <c r="R27"/>
  <c r="R26"/>
  <c r="P43"/>
  <c r="U6"/>
  <c r="U7"/>
  <c r="U8"/>
  <c r="U9"/>
  <c r="U10"/>
  <c r="U11"/>
  <c r="U12"/>
  <c r="U13"/>
  <c r="U14"/>
  <c r="U15"/>
  <c r="U16"/>
  <c r="U17"/>
  <c r="U18"/>
  <c r="U19"/>
  <c r="U20"/>
  <c r="S6"/>
  <c r="S7"/>
  <c r="S8"/>
  <c r="S9"/>
  <c r="S10"/>
  <c r="S11"/>
  <c r="S12"/>
  <c r="S13"/>
  <c r="S14"/>
  <c r="S15"/>
  <c r="S16"/>
  <c r="S17"/>
  <c r="S18"/>
  <c r="S19"/>
  <c r="S20"/>
  <c r="R6"/>
  <c r="R7"/>
  <c r="R8"/>
  <c r="R9"/>
  <c r="R10"/>
  <c r="R11"/>
  <c r="R12"/>
  <c r="R13"/>
  <c r="R14"/>
  <c r="R15"/>
  <c r="R16"/>
  <c r="R17"/>
  <c r="R18"/>
  <c r="R19"/>
  <c r="R20"/>
  <c r="Q20"/>
  <c r="Q19"/>
  <c r="Q18"/>
  <c r="Q17"/>
  <c r="Q16"/>
  <c r="Q15"/>
  <c r="Q14"/>
  <c r="Q13"/>
  <c r="Q12"/>
  <c r="Q11"/>
  <c r="Q10"/>
  <c r="Q8"/>
  <c r="Q7"/>
  <c r="Q6"/>
  <c r="Q5"/>
  <c r="N9"/>
  <c r="N10"/>
  <c r="T10" s="1"/>
  <c r="N11"/>
  <c r="N12"/>
  <c r="T12" s="1"/>
  <c r="N13"/>
  <c r="N14"/>
  <c r="T14" s="1"/>
  <c r="N15"/>
  <c r="N16"/>
  <c r="T16" s="1"/>
  <c r="N17"/>
  <c r="N18"/>
  <c r="T18" s="1"/>
  <c r="N19"/>
  <c r="N20"/>
  <c r="T20" s="1"/>
  <c r="N8"/>
  <c r="N7"/>
  <c r="N6"/>
  <c r="N5"/>
  <c r="M10"/>
  <c r="M11"/>
  <c r="M12"/>
  <c r="M13"/>
  <c r="M14"/>
  <c r="M15"/>
  <c r="M16"/>
  <c r="M17"/>
  <c r="M18"/>
  <c r="M19"/>
  <c r="M20"/>
  <c r="M6"/>
  <c r="M7"/>
  <c r="M8"/>
  <c r="M9"/>
  <c r="M5"/>
  <c r="I6"/>
  <c r="I7"/>
  <c r="I8"/>
  <c r="I9"/>
  <c r="I10"/>
  <c r="I11"/>
  <c r="I12"/>
  <c r="I13"/>
  <c r="I14"/>
  <c r="I15"/>
  <c r="I16"/>
  <c r="I17"/>
  <c r="I18"/>
  <c r="I19"/>
  <c r="I20"/>
  <c r="I5"/>
  <c r="L10"/>
  <c r="L11"/>
  <c r="L12"/>
  <c r="L13"/>
  <c r="L14"/>
  <c r="L15"/>
  <c r="L16"/>
  <c r="L17"/>
  <c r="L18"/>
  <c r="L19"/>
  <c r="L20"/>
  <c r="K20"/>
  <c r="K17"/>
  <c r="K18"/>
  <c r="K19" s="1"/>
  <c r="K7"/>
  <c r="K8"/>
  <c r="K9" s="1"/>
  <c r="K10" s="1"/>
  <c r="K11" s="1"/>
  <c r="K12" s="1"/>
  <c r="K13" s="1"/>
  <c r="K14" s="1"/>
  <c r="K15" s="1"/>
  <c r="K16" s="1"/>
  <c r="T11"/>
  <c r="T13"/>
  <c r="T15"/>
  <c r="T17"/>
  <c r="T19"/>
  <c r="U26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P27" l="1"/>
  <c r="P28"/>
  <c r="P29"/>
  <c r="P30"/>
  <c r="P31"/>
  <c r="P32"/>
  <c r="P33"/>
  <c r="P34"/>
  <c r="P35"/>
  <c r="P36"/>
  <c r="P37"/>
  <c r="P38"/>
  <c r="P39"/>
  <c r="P40"/>
  <c r="P41"/>
  <c r="K5" i="1"/>
  <c r="Q31" i="3"/>
  <c r="Q32"/>
  <c r="Q33"/>
  <c r="Q34"/>
  <c r="Q35"/>
  <c r="Q36"/>
  <c r="Q37"/>
  <c r="Q38"/>
  <c r="Q39"/>
  <c r="Q40"/>
  <c r="Q41"/>
  <c r="O28"/>
  <c r="O29"/>
  <c r="O30" s="1"/>
  <c r="O31" s="1"/>
  <c r="O32" s="1"/>
  <c r="O33" s="1"/>
  <c r="O34" s="1"/>
  <c r="O35" s="1"/>
  <c r="O36" s="1"/>
  <c r="O37" s="1"/>
  <c r="O38" s="1"/>
  <c r="O39" s="1"/>
  <c r="O40" s="1"/>
  <c r="O41" s="1"/>
  <c r="O27"/>
  <c r="S4" l="1"/>
  <c r="T4"/>
  <c r="U4" s="1"/>
  <c r="R4"/>
  <c r="P5"/>
  <c r="K6"/>
  <c r="L6"/>
  <c r="L7"/>
  <c r="L8"/>
  <c r="L9"/>
  <c r="L5"/>
  <c r="A7"/>
  <c r="A8" s="1"/>
  <c r="A9" s="1"/>
  <c r="A10" s="1"/>
  <c r="A11" s="1"/>
  <c r="A12" s="1"/>
  <c r="A13" s="1"/>
  <c r="A14" s="1"/>
  <c r="A6"/>
  <c r="P6" s="1"/>
  <c r="Y23" i="2"/>
  <c r="Z23"/>
  <c r="AA23" s="1"/>
  <c r="N23"/>
  <c r="O23"/>
  <c r="P23" s="1"/>
  <c r="Q23" s="1"/>
  <c r="R23" s="1"/>
  <c r="S23" s="1"/>
  <c r="T23" s="1"/>
  <c r="U23" s="1"/>
  <c r="V23" s="1"/>
  <c r="W23" s="1"/>
  <c r="X23" s="1"/>
  <c r="M23"/>
  <c r="L23"/>
  <c r="K23"/>
  <c r="B33"/>
  <c r="B32"/>
  <c r="Q30" i="3" l="1"/>
  <c r="Q9"/>
  <c r="T9"/>
  <c r="Q28"/>
  <c r="T7"/>
  <c r="T8"/>
  <c r="Q29"/>
  <c r="Q27"/>
  <c r="T6"/>
  <c r="U5"/>
  <c r="R5"/>
  <c r="T5"/>
  <c r="S5"/>
  <c r="P14"/>
  <c r="A15"/>
  <c r="P13"/>
  <c r="P11"/>
  <c r="P9"/>
  <c r="P7"/>
  <c r="P12"/>
  <c r="P10"/>
  <c r="P8"/>
  <c r="H4" i="2"/>
  <c r="H5"/>
  <c r="H6"/>
  <c r="H7"/>
  <c r="H8"/>
  <c r="H9"/>
  <c r="H10"/>
  <c r="H11"/>
  <c r="H12"/>
  <c r="H13"/>
  <c r="H14"/>
  <c r="H15"/>
  <c r="H16"/>
  <c r="H17"/>
  <c r="H18"/>
  <c r="H19"/>
  <c r="J4" i="1"/>
  <c r="C20" i="2"/>
  <c r="E5"/>
  <c r="E6" s="1"/>
  <c r="E7" s="1"/>
  <c r="E8" s="1"/>
  <c r="E9" s="1"/>
  <c r="E10" s="1"/>
  <c r="E11" s="1"/>
  <c r="E12" s="1"/>
  <c r="E13" s="1"/>
  <c r="E14" s="1"/>
  <c r="E15" s="1"/>
  <c r="E16" s="1"/>
  <c r="E17" s="1"/>
  <c r="E4"/>
  <c r="B5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4"/>
  <c r="N4" i="1"/>
  <c r="I4"/>
  <c r="M4"/>
  <c r="O5"/>
  <c r="O6" s="1"/>
  <c r="O7" s="1"/>
  <c r="O8" s="1"/>
  <c r="O9" s="1"/>
  <c r="O10" s="1"/>
  <c r="O11" s="1"/>
  <c r="O12" s="1"/>
  <c r="O13" s="1"/>
  <c r="O14" s="1"/>
  <c r="O15" s="1"/>
  <c r="N5"/>
  <c r="N6"/>
  <c r="N7"/>
  <c r="N8"/>
  <c r="N9"/>
  <c r="N10"/>
  <c r="N11"/>
  <c r="N12"/>
  <c r="N13"/>
  <c r="N14"/>
  <c r="N15"/>
  <c r="M5"/>
  <c r="M6"/>
  <c r="M7"/>
  <c r="M8"/>
  <c r="M9"/>
  <c r="M10"/>
  <c r="M11"/>
  <c r="M12"/>
  <c r="M13"/>
  <c r="M14"/>
  <c r="M15"/>
  <c r="I15"/>
  <c r="I14"/>
  <c r="I13"/>
  <c r="I12"/>
  <c r="I11"/>
  <c r="I10"/>
  <c r="I9"/>
  <c r="I8"/>
  <c r="I5"/>
  <c r="I6"/>
  <c r="I7"/>
  <c r="C16"/>
  <c r="B5"/>
  <c r="A16" i="3" l="1"/>
  <c r="P15"/>
  <c r="B27" i="2"/>
  <c r="B6" i="1"/>
  <c r="B7" s="1"/>
  <c r="B8" s="1"/>
  <c r="B9" s="1"/>
  <c r="B10" s="1"/>
  <c r="B11" s="1"/>
  <c r="B12" s="1"/>
  <c r="B13" s="1"/>
  <c r="B14" s="1"/>
  <c r="B15" s="1"/>
  <c r="K14"/>
  <c r="J14" s="1"/>
  <c r="K12"/>
  <c r="J12" s="1"/>
  <c r="K10"/>
  <c r="J10" s="1"/>
  <c r="K8"/>
  <c r="J8" s="1"/>
  <c r="K6"/>
  <c r="J6" s="1"/>
  <c r="K15"/>
  <c r="J15" s="1"/>
  <c r="K13"/>
  <c r="J13" s="1"/>
  <c r="K11"/>
  <c r="J11" s="1"/>
  <c r="K9"/>
  <c r="J9" s="1"/>
  <c r="K7"/>
  <c r="J7" s="1"/>
  <c r="J5"/>
  <c r="D37" i="2" l="1"/>
  <c r="B37"/>
  <c r="A17" i="3"/>
  <c r="P16"/>
  <c r="J16" i="1"/>
  <c r="C19" s="1"/>
  <c r="C20" s="1"/>
  <c r="B26" i="2" l="1"/>
  <c r="D26"/>
  <c r="A18" i="3"/>
  <c r="P17"/>
  <c r="N16" i="1"/>
  <c r="L7"/>
  <c r="L12"/>
  <c r="L4"/>
  <c r="L10"/>
  <c r="C38"/>
  <c r="L6"/>
  <c r="L8"/>
  <c r="L11"/>
  <c r="P13" s="1"/>
  <c r="L13"/>
  <c r="L15"/>
  <c r="L5"/>
  <c r="L9"/>
  <c r="P11" s="1"/>
  <c r="L14"/>
  <c r="A19" i="3" l="1"/>
  <c r="P18"/>
  <c r="P7" i="1"/>
  <c r="P14"/>
  <c r="P10"/>
  <c r="P9"/>
  <c r="P5"/>
  <c r="P4"/>
  <c r="P12"/>
  <c r="P6"/>
  <c r="P15"/>
  <c r="P8"/>
  <c r="Q15" l="1"/>
  <c r="Q5"/>
  <c r="Q7"/>
  <c r="P16"/>
  <c r="Q4"/>
  <c r="Q8"/>
  <c r="Q6"/>
  <c r="Q9"/>
  <c r="Q14"/>
  <c r="A20" i="3"/>
  <c r="P20" s="1"/>
  <c r="P19"/>
  <c r="R4" i="1" l="1"/>
  <c r="R5" s="1"/>
  <c r="R6" s="1"/>
  <c r="R7" s="1"/>
  <c r="R8" s="1"/>
  <c r="R9" s="1"/>
  <c r="Q11"/>
  <c r="Q13"/>
  <c r="Q10"/>
  <c r="Q16" s="1"/>
  <c r="Q12"/>
  <c r="R10" l="1"/>
  <c r="R11" s="1"/>
  <c r="R12" s="1"/>
  <c r="R13" s="1"/>
  <c r="R14" s="1"/>
  <c r="R15" s="1"/>
  <c r="Q26" i="3" l="1"/>
</calcChain>
</file>

<file path=xl/comments1.xml><?xml version="1.0" encoding="utf-8"?>
<comments xmlns="http://schemas.openxmlformats.org/spreadsheetml/2006/main">
  <authors>
    <author>Belkin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Belkin: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<sst xmlns="http://schemas.openxmlformats.org/spreadsheetml/2006/main" count="78" uniqueCount="59">
  <si>
    <t>Gi</t>
  </si>
  <si>
    <t>Gi=ni*gi</t>
  </si>
  <si>
    <t>gi</t>
  </si>
  <si>
    <t>P</t>
  </si>
  <si>
    <t>d1/3</t>
  </si>
  <si>
    <t>ni</t>
  </si>
  <si>
    <t>Hsr</t>
  </si>
  <si>
    <t>Izmerreni visochini</t>
  </si>
  <si>
    <t>ЕСД</t>
  </si>
  <si>
    <t>gsr.</t>
  </si>
  <si>
    <t>dsr.</t>
  </si>
  <si>
    <t>(0.4)0.5-.-1.7(1.8)</t>
  </si>
  <si>
    <t>tablica 1</t>
  </si>
  <si>
    <t>Hcp {m}</t>
  </si>
  <si>
    <t>trend</t>
  </si>
  <si>
    <t>bcisa</t>
  </si>
  <si>
    <t>ordinata</t>
  </si>
  <si>
    <t>ДАСД</t>
  </si>
  <si>
    <t>ЕСД-закр.</t>
  </si>
  <si>
    <t>n'отчет.</t>
  </si>
  <si>
    <t>n' отчет. %</t>
  </si>
  <si>
    <t>Сума с нат.</t>
  </si>
  <si>
    <t>zadanie 17</t>
  </si>
  <si>
    <t>H</t>
  </si>
  <si>
    <t>D 1.3</t>
  </si>
  <si>
    <t>N,br</t>
  </si>
  <si>
    <t>D'1.3</t>
  </si>
  <si>
    <t>H,m</t>
  </si>
  <si>
    <t>D,sm</t>
  </si>
  <si>
    <t>G</t>
  </si>
  <si>
    <t>gsr</t>
  </si>
  <si>
    <t>dsr</t>
  </si>
  <si>
    <t>l =</t>
  </si>
  <si>
    <t>l kr. =</t>
  </si>
  <si>
    <t>d vr. =</t>
  </si>
  <si>
    <r>
      <t xml:space="preserve">g </t>
    </r>
    <r>
      <rPr>
        <vertAlign val="subscript"/>
        <sz val="11"/>
        <color theme="1"/>
        <rFont val="Calibri"/>
        <family val="2"/>
        <scheme val="minor"/>
      </rPr>
      <t>osn. Vr.</t>
    </r>
    <r>
      <rPr>
        <sz val="11"/>
        <color theme="1"/>
        <rFont val="Calibri"/>
        <family val="2"/>
        <scheme val="minor"/>
      </rPr>
      <t>=</t>
    </r>
  </si>
  <si>
    <t>l vr. =</t>
  </si>
  <si>
    <t>V vr. =</t>
  </si>
  <si>
    <t>V hub. =</t>
  </si>
  <si>
    <t>V  =</t>
  </si>
  <si>
    <t>V=v*N</t>
  </si>
  <si>
    <t>D1/3</t>
  </si>
  <si>
    <t>N бр.</t>
  </si>
  <si>
    <t>изм.ср.височ.</t>
  </si>
  <si>
    <t>–</t>
  </si>
  <si>
    <t>Variant 1</t>
  </si>
  <si>
    <t>g 1/3</t>
  </si>
  <si>
    <t>h</t>
  </si>
  <si>
    <t>f1/3</t>
  </si>
  <si>
    <t>v</t>
  </si>
  <si>
    <t>P=</t>
  </si>
  <si>
    <t>ili</t>
  </si>
  <si>
    <t>d</t>
  </si>
  <si>
    <t>H ср.ар.</t>
  </si>
  <si>
    <t>H изравн.</t>
  </si>
  <si>
    <t>Ri</t>
  </si>
  <si>
    <t>Izmerena.sr.visoch.</t>
  </si>
  <si>
    <t>v1</t>
  </si>
  <si>
    <t>V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</si>
</sst>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"/>
    <numFmt numFmtId="166" formatCode="0.0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2" fontId="1" fillId="0" borderId="0" xfId="0" applyNumberFormat="1" applyFont="1"/>
    <xf numFmtId="0" fontId="0" fillId="2" borderId="1" xfId="0" applyFill="1" applyBorder="1"/>
    <xf numFmtId="9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164" fontId="0" fillId="3" borderId="1" xfId="0" applyNumberFormat="1" applyFill="1" applyBorder="1"/>
    <xf numFmtId="10" fontId="0" fillId="3" borderId="1" xfId="0" applyNumberFormat="1" applyFill="1" applyBorder="1"/>
    <xf numFmtId="9" fontId="0" fillId="3" borderId="1" xfId="0" applyNumberFormat="1" applyFill="1" applyBorder="1"/>
    <xf numFmtId="0" fontId="1" fillId="0" borderId="1" xfId="0" applyFont="1" applyBorder="1"/>
    <xf numFmtId="9" fontId="0" fillId="0" borderId="1" xfId="0" applyNumberForma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2" xfId="0" applyFill="1" applyBorder="1"/>
    <xf numFmtId="0" fontId="1" fillId="0" borderId="0" xfId="0" applyFont="1"/>
    <xf numFmtId="0" fontId="0" fillId="0" borderId="3" xfId="0" applyFill="1" applyBorder="1"/>
    <xf numFmtId="165" fontId="0" fillId="0" borderId="0" xfId="0" applyNumberFormat="1"/>
    <xf numFmtId="165" fontId="0" fillId="0" borderId="1" xfId="0" applyNumberFormat="1" applyBorder="1"/>
    <xf numFmtId="1" fontId="0" fillId="0" borderId="0" xfId="0" applyNumberFormat="1"/>
    <xf numFmtId="1" fontId="0" fillId="3" borderId="1" xfId="0" applyNumberFormat="1" applyFill="1" applyBorder="1"/>
    <xf numFmtId="1" fontId="0" fillId="0" borderId="1" xfId="0" applyNumberFormat="1" applyBorder="1"/>
    <xf numFmtId="9" fontId="0" fillId="3" borderId="1" xfId="1" applyFont="1" applyFill="1" applyBorder="1"/>
    <xf numFmtId="9" fontId="0" fillId="0" borderId="1" xfId="1" applyFont="1" applyBorder="1"/>
    <xf numFmtId="1" fontId="0" fillId="0" borderId="0" xfId="1" applyNumberFormat="1" applyFont="1"/>
    <xf numFmtId="1" fontId="0" fillId="3" borderId="0" xfId="1" applyNumberFormat="1" applyFont="1" applyFill="1"/>
    <xf numFmtId="1" fontId="0" fillId="3" borderId="1" xfId="1" applyNumberFormat="1" applyFont="1" applyFill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 applyFill="1" applyBorder="1"/>
    <xf numFmtId="0" fontId="0" fillId="0" borderId="1" xfId="0" applyBorder="1" applyAlignment="1">
      <alignment horizontal="right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3" borderId="1" xfId="0" applyFill="1" applyBorder="1" applyAlignment="1">
      <alignment horizontal="center"/>
    </xf>
    <xf numFmtId="164" fontId="0" fillId="0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g-BG" sz="1800" b="1" i="0" baseline="0"/>
              <a:t>Вариационна крива за  разпределение </a:t>
            </a:r>
            <a:r>
              <a:rPr lang="en-US" sz="1800" b="1" i="0" baseline="0"/>
              <a:t> </a:t>
            </a:r>
            <a:r>
              <a:rPr lang="bg-BG" sz="1800" b="1" i="0" baseline="0"/>
              <a:t>броя на дърветата по ЕСД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'delcho-5'!$B$4:$B$15</c:f>
              <c:numCache>
                <c:formatCode>General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</c:numCache>
            </c:numRef>
          </c:xVal>
          <c:yVal>
            <c:numRef>
              <c:f>'delcho-5'!$C$4:$C$15</c:f>
              <c:numCache>
                <c:formatCode>General</c:formatCode>
                <c:ptCount val="12"/>
                <c:pt idx="0">
                  <c:v>19</c:v>
                </c:pt>
                <c:pt idx="1">
                  <c:v>25</c:v>
                </c:pt>
                <c:pt idx="2">
                  <c:v>52</c:v>
                </c:pt>
                <c:pt idx="3">
                  <c:v>75</c:v>
                </c:pt>
                <c:pt idx="4">
                  <c:v>68</c:v>
                </c:pt>
                <c:pt idx="5">
                  <c:v>48</c:v>
                </c:pt>
                <c:pt idx="6">
                  <c:v>32</c:v>
                </c:pt>
                <c:pt idx="7">
                  <c:v>19</c:v>
                </c:pt>
                <c:pt idx="8">
                  <c:v>17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</c:numCache>
            </c:numRef>
          </c:yVal>
          <c:smooth val="1"/>
        </c:ser>
        <c:axId val="53921280"/>
        <c:axId val="53923840"/>
      </c:scatterChart>
      <c:valAx>
        <c:axId val="53921280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степен на дебелина</a:t>
                </a:r>
              </a:p>
            </c:rich>
          </c:tx>
        </c:title>
        <c:numFmt formatCode="General" sourceLinked="0"/>
        <c:majorTickMark val="none"/>
        <c:tickLblPos val="nextTo"/>
        <c:crossAx val="53923840"/>
        <c:crosses val="autoZero"/>
        <c:crossBetween val="midCat"/>
        <c:majorUnit val="14"/>
      </c:valAx>
      <c:valAx>
        <c:axId val="539238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брой дървета</a:t>
                </a:r>
              </a:p>
            </c:rich>
          </c:tx>
        </c:title>
        <c:numFmt formatCode="General" sourceLinked="1"/>
        <c:majorTickMark val="none"/>
        <c:tickLblPos val="nextTo"/>
        <c:crossAx val="53921280"/>
        <c:crosses val="autoZero"/>
        <c:crossBetween val="midCat"/>
      </c:valAx>
      <c:spPr>
        <a:noFill/>
        <a:ln w="25400">
          <a:noFill/>
        </a:ln>
      </c:spPr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bg-BG"/>
              <a:t>Крива на височините</a:t>
            </a:r>
          </a:p>
        </c:rich>
      </c:tx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trendline>
            <c:trendlineType val="log"/>
            <c:dispEq val="1"/>
            <c:trendlineLbl>
              <c:numFmt formatCode="General" sourceLinked="0"/>
            </c:trendlineLbl>
          </c:trendline>
          <c:xVal>
            <c:numRef>
              <c:f>'delcho-5'!$B$4:$B$15</c:f>
              <c:numCache>
                <c:formatCode>General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</c:numCache>
            </c:numRef>
          </c:xVal>
          <c:yVal>
            <c:numRef>
              <c:f>'delcho-5'!$I$4:$I$15</c:f>
              <c:numCache>
                <c:formatCode>0.00</c:formatCode>
                <c:ptCount val="12"/>
                <c:pt idx="0">
                  <c:v>14.833333333333334</c:v>
                </c:pt>
                <c:pt idx="1">
                  <c:v>17.18</c:v>
                </c:pt>
                <c:pt idx="2">
                  <c:v>20</c:v>
                </c:pt>
                <c:pt idx="3">
                  <c:v>22.259999999999998</c:v>
                </c:pt>
                <c:pt idx="4">
                  <c:v>23.86</c:v>
                </c:pt>
                <c:pt idx="5">
                  <c:v>25.4</c:v>
                </c:pt>
                <c:pt idx="6">
                  <c:v>26.859999999999996</c:v>
                </c:pt>
                <c:pt idx="7">
                  <c:v>27.666666666666668</c:v>
                </c:pt>
                <c:pt idx="8">
                  <c:v>28.5</c:v>
                </c:pt>
                <c:pt idx="9">
                  <c:v>29.100000000000005</c:v>
                </c:pt>
                <c:pt idx="10">
                  <c:v>29.466666666666669</c:v>
                </c:pt>
                <c:pt idx="11">
                  <c:v>29.8</c:v>
                </c:pt>
              </c:numCache>
            </c:numRef>
          </c:yVal>
          <c:smooth val="1"/>
        </c:ser>
        <c:axId val="55083776"/>
        <c:axId val="55085696"/>
      </c:scatterChart>
      <c:valAx>
        <c:axId val="55083776"/>
        <c:scaling>
          <c:orientation val="minMax"/>
          <c:max val="58"/>
          <c:min val="1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степен на дебелина</a:t>
                </a:r>
              </a:p>
            </c:rich>
          </c:tx>
        </c:title>
        <c:numFmt formatCode="General" sourceLinked="1"/>
        <c:majorTickMark val="none"/>
        <c:tickLblPos val="nextTo"/>
        <c:crossAx val="55085696"/>
        <c:crosses val="autoZero"/>
        <c:crossBetween val="midCat"/>
        <c:majorUnit val="4"/>
        <c:minorUnit val="2"/>
      </c:valAx>
      <c:valAx>
        <c:axId val="55085696"/>
        <c:scaling>
          <c:orientation val="minMax"/>
          <c:max val="30"/>
          <c:min val="12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ср.височина</a:t>
                </a:r>
              </a:p>
            </c:rich>
          </c:tx>
        </c:title>
        <c:numFmt formatCode="0.00" sourceLinked="1"/>
        <c:majorTickMark val="none"/>
        <c:tickLblPos val="nextTo"/>
        <c:crossAx val="55083776"/>
        <c:crosses val="autoZero"/>
        <c:crossBetween val="midCat"/>
        <c:majorUnit val="2"/>
        <c:minorUnit val="1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bg-BG"/>
              <a:t>Вариационна крива за процентно</a:t>
            </a:r>
            <a:r>
              <a:rPr lang="bg-BG" baseline="0"/>
              <a:t> сумарно разпределение на дърветата по ЕСД</a:t>
            </a:r>
            <a:endParaRPr lang="bg-BG"/>
          </a:p>
        </c:rich>
      </c:tx>
    </c:title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'delcho-5'!$O$4:$O$15</c:f>
              <c:numCache>
                <c:formatCode>General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0.79999999999999993</c:v>
                </c:pt>
                <c:pt idx="5">
                  <c:v>0.89999999999999991</c:v>
                </c:pt>
                <c:pt idx="6">
                  <c:v>0.99999999999999989</c:v>
                </c:pt>
                <c:pt idx="7">
                  <c:v>1.0999999999999999</c:v>
                </c:pt>
                <c:pt idx="8">
                  <c:v>1.2</c:v>
                </c:pt>
                <c:pt idx="9">
                  <c:v>1.3</c:v>
                </c:pt>
                <c:pt idx="10">
                  <c:v>1.4000000000000001</c:v>
                </c:pt>
                <c:pt idx="11">
                  <c:v>1.5000000000000002</c:v>
                </c:pt>
              </c:numCache>
            </c:numRef>
          </c:xVal>
          <c:yVal>
            <c:numRef>
              <c:f>'delcho-5'!$R$4:$R$15</c:f>
              <c:numCache>
                <c:formatCode>0%</c:formatCode>
                <c:ptCount val="12"/>
                <c:pt idx="0">
                  <c:v>4.0114608395110038E-2</c:v>
                </c:pt>
                <c:pt idx="1">
                  <c:v>9.1380618365371993E-2</c:v>
                </c:pt>
                <c:pt idx="2">
                  <c:v>0.17577781195421177</c:v>
                </c:pt>
                <c:pt idx="3">
                  <c:v>0.30771741557433385</c:v>
                </c:pt>
                <c:pt idx="4">
                  <c:v>0.47422029134581661</c:v>
                </c:pt>
                <c:pt idx="5">
                  <c:v>0.62919701579050402</c:v>
                </c:pt>
                <c:pt idx="6">
                  <c:v>0.74700240165135157</c:v>
                </c:pt>
                <c:pt idx="7">
                  <c:v>0.83306642941934661</c:v>
                </c:pt>
                <c:pt idx="8">
                  <c:v>0.89230507561783978</c:v>
                </c:pt>
                <c:pt idx="9">
                  <c:v>0.93380229356880129</c:v>
                </c:pt>
                <c:pt idx="10">
                  <c:v>0.97118897955722627</c:v>
                </c:pt>
                <c:pt idx="11">
                  <c:v>0.99999999999999989</c:v>
                </c:pt>
              </c:numCache>
            </c:numRef>
          </c:yVal>
        </c:ser>
        <c:axId val="55114752"/>
        <c:axId val="69674112"/>
      </c:scatterChart>
      <c:valAx>
        <c:axId val="55114752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ЕСД</a:t>
                </a:r>
              </a:p>
            </c:rich>
          </c:tx>
        </c:title>
        <c:numFmt formatCode="General" sourceLinked="1"/>
        <c:majorTickMark val="none"/>
        <c:tickLblPos val="nextTo"/>
        <c:crossAx val="69674112"/>
        <c:crosses val="autoZero"/>
        <c:crossBetween val="midCat"/>
        <c:majorUnit val="0.2"/>
      </c:valAx>
      <c:valAx>
        <c:axId val="69674112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</a:t>
                </a:r>
                <a:r>
                  <a:rPr lang="bg-BG"/>
                  <a:t>%</a:t>
                </a:r>
              </a:p>
            </c:rich>
          </c:tx>
        </c:title>
        <c:numFmt formatCode="0%" sourceLinked="1"/>
        <c:majorTickMark val="none"/>
        <c:tickLblPos val="nextTo"/>
        <c:crossAx val="55114752"/>
        <c:crosses val="autoZero"/>
        <c:crossBetween val="midCat"/>
        <c:majorUnit val="0.1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bg-BG"/>
              <a:t>Вариационна крива за пазпределение на процентния брой на дърветата по ЕСД</a:t>
            </a:r>
          </a:p>
        </c:rich>
      </c:tx>
    </c:title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'delcho-5'!$O$4:$O$15</c:f>
              <c:numCache>
                <c:formatCode>General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0.79999999999999993</c:v>
                </c:pt>
                <c:pt idx="5">
                  <c:v>0.89999999999999991</c:v>
                </c:pt>
                <c:pt idx="6">
                  <c:v>0.99999999999999989</c:v>
                </c:pt>
                <c:pt idx="7">
                  <c:v>1.0999999999999999</c:v>
                </c:pt>
                <c:pt idx="8">
                  <c:v>1.2</c:v>
                </c:pt>
                <c:pt idx="9">
                  <c:v>1.3</c:v>
                </c:pt>
                <c:pt idx="10">
                  <c:v>1.4000000000000001</c:v>
                </c:pt>
                <c:pt idx="11">
                  <c:v>1.5000000000000002</c:v>
                </c:pt>
              </c:numCache>
            </c:numRef>
          </c:xVal>
          <c:yVal>
            <c:numRef>
              <c:f>'delcho-5'!$Q$4:$Q$15</c:f>
              <c:numCache>
                <c:formatCode>0%</c:formatCode>
                <c:ptCount val="12"/>
                <c:pt idx="0">
                  <c:v>4.0114608395110038E-2</c:v>
                </c:pt>
                <c:pt idx="1">
                  <c:v>5.1266009970261955E-2</c:v>
                </c:pt>
                <c:pt idx="2">
                  <c:v>8.4397193588839792E-2</c:v>
                </c:pt>
                <c:pt idx="3">
                  <c:v>0.13193960362012211</c:v>
                </c:pt>
                <c:pt idx="4">
                  <c:v>0.16650287577148276</c:v>
                </c:pt>
                <c:pt idx="5">
                  <c:v>0.15497672444468735</c:v>
                </c:pt>
                <c:pt idx="6">
                  <c:v>0.11780538586084757</c:v>
                </c:pt>
                <c:pt idx="7">
                  <c:v>8.6064027767995016E-2</c:v>
                </c:pt>
                <c:pt idx="8">
                  <c:v>5.9238646198493131E-2</c:v>
                </c:pt>
                <c:pt idx="9">
                  <c:v>4.1497217950961535E-2</c:v>
                </c:pt>
                <c:pt idx="10">
                  <c:v>3.7386685988424991E-2</c:v>
                </c:pt>
                <c:pt idx="11">
                  <c:v>2.8811020442773661E-2</c:v>
                </c:pt>
              </c:numCache>
            </c:numRef>
          </c:yVal>
        </c:ser>
        <c:axId val="69710976"/>
        <c:axId val="69712896"/>
      </c:scatterChart>
      <c:valAx>
        <c:axId val="69710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ЕСД</a:t>
                </a:r>
              </a:p>
            </c:rich>
          </c:tx>
        </c:title>
        <c:numFmt formatCode="General" sourceLinked="1"/>
        <c:majorTickMark val="none"/>
        <c:tickLblPos val="nextTo"/>
        <c:crossAx val="69712896"/>
        <c:crosses val="autoZero"/>
        <c:crossBetween val="midCat"/>
      </c:valAx>
      <c:valAx>
        <c:axId val="69712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bg-BG"/>
                  <a:t>брой (%)</a:t>
                </a:r>
              </a:p>
            </c:rich>
          </c:tx>
        </c:title>
        <c:numFmt formatCode="0%" sourceLinked="1"/>
        <c:majorTickMark val="none"/>
        <c:tickLblPos val="nextTo"/>
        <c:crossAx val="6971097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trendline>
            <c:trendlineType val="poly"/>
            <c:order val="2"/>
            <c:dispEq val="1"/>
            <c:trendlineLbl>
              <c:layout/>
              <c:numFmt formatCode="General" sourceLinked="0"/>
            </c:trendlineLbl>
          </c:trendline>
          <c:xVal>
            <c:numRef>
              <c:f>'delcho-6'!$B$5:$B$16</c:f>
              <c:numCache>
                <c:formatCode>General</c:formatCode>
                <c:ptCount val="12"/>
                <c:pt idx="0">
                  <c:v>18</c:v>
                </c:pt>
                <c:pt idx="1">
                  <c:v>22</c:v>
                </c:pt>
                <c:pt idx="2">
                  <c:v>26</c:v>
                </c:pt>
                <c:pt idx="3">
                  <c:v>30</c:v>
                </c:pt>
                <c:pt idx="4">
                  <c:v>34</c:v>
                </c:pt>
                <c:pt idx="5">
                  <c:v>38</c:v>
                </c:pt>
                <c:pt idx="6">
                  <c:v>42</c:v>
                </c:pt>
                <c:pt idx="7">
                  <c:v>46</c:v>
                </c:pt>
                <c:pt idx="8">
                  <c:v>50</c:v>
                </c:pt>
                <c:pt idx="9">
                  <c:v>54</c:v>
                </c:pt>
                <c:pt idx="10">
                  <c:v>58</c:v>
                </c:pt>
                <c:pt idx="11">
                  <c:v>62</c:v>
                </c:pt>
              </c:numCache>
            </c:numRef>
          </c:xVal>
          <c:yVal>
            <c:numRef>
              <c:f>'delcho-6'!$D$5:$D$16</c:f>
              <c:numCache>
                <c:formatCode>General</c:formatCode>
                <c:ptCount val="12"/>
                <c:pt idx="0">
                  <c:v>18</c:v>
                </c:pt>
                <c:pt idx="1">
                  <c:v>20</c:v>
                </c:pt>
                <c:pt idx="2">
                  <c:v>22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34</c:v>
                </c:pt>
                <c:pt idx="10">
                  <c:v>34</c:v>
                </c:pt>
                <c:pt idx="11">
                  <c:v>32</c:v>
                </c:pt>
              </c:numCache>
            </c:numRef>
          </c:yVal>
          <c:smooth val="1"/>
        </c:ser>
        <c:axId val="69636480"/>
        <c:axId val="69638016"/>
      </c:scatterChart>
      <c:valAx>
        <c:axId val="69636480"/>
        <c:scaling>
          <c:orientation val="minMax"/>
        </c:scaling>
        <c:axPos val="b"/>
        <c:numFmt formatCode="General" sourceLinked="1"/>
        <c:tickLblPos val="nextTo"/>
        <c:crossAx val="69638016"/>
        <c:crosses val="autoZero"/>
        <c:crossBetween val="midCat"/>
      </c:valAx>
      <c:valAx>
        <c:axId val="69638016"/>
        <c:scaling>
          <c:orientation val="minMax"/>
        </c:scaling>
        <c:axPos val="l"/>
        <c:majorGridlines/>
        <c:numFmt formatCode="General" sourceLinked="1"/>
        <c:tickLblPos val="nextTo"/>
        <c:crossAx val="69636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trendline>
            <c:trendlineType val="log"/>
          </c:trendline>
          <c:xVal>
            <c:numRef>
              <c:f>'Delcho-7'!$A$5:$A$20</c:f>
              <c:numCache>
                <c:formatCode>General</c:formatCode>
                <c:ptCount val="16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66</c:v>
                </c:pt>
                <c:pt idx="14">
                  <c:v>70</c:v>
                </c:pt>
                <c:pt idx="15">
                  <c:v>74</c:v>
                </c:pt>
              </c:numCache>
            </c:numRef>
          </c:xVal>
          <c:yVal>
            <c:numRef>
              <c:f>'Delcho-7'!$I$5:$I$20</c:f>
              <c:numCache>
                <c:formatCode>0.0</c:formatCode>
                <c:ptCount val="16"/>
                <c:pt idx="0">
                  <c:v>18.271428571428576</c:v>
                </c:pt>
                <c:pt idx="1">
                  <c:v>20.542857142857144</c:v>
                </c:pt>
                <c:pt idx="2">
                  <c:v>23.014285714285712</c:v>
                </c:pt>
                <c:pt idx="3">
                  <c:v>25.400000000000002</c:v>
                </c:pt>
                <c:pt idx="4">
                  <c:v>28.314285714285717</c:v>
                </c:pt>
                <c:pt idx="5">
                  <c:v>29.300000000000004</c:v>
                </c:pt>
                <c:pt idx="6">
                  <c:v>30.157142857142855</c:v>
                </c:pt>
                <c:pt idx="7">
                  <c:v>30.871428571428574</c:v>
                </c:pt>
                <c:pt idx="8">
                  <c:v>31.442857142857143</c:v>
                </c:pt>
                <c:pt idx="9">
                  <c:v>32</c:v>
                </c:pt>
                <c:pt idx="10">
                  <c:v>32.571428571428569</c:v>
                </c:pt>
                <c:pt idx="11">
                  <c:v>32.885714285714286</c:v>
                </c:pt>
                <c:pt idx="12">
                  <c:v>33.4</c:v>
                </c:pt>
                <c:pt idx="13">
                  <c:v>33.700000000000003</c:v>
                </c:pt>
                <c:pt idx="14">
                  <c:v>34</c:v>
                </c:pt>
                <c:pt idx="15">
                  <c:v>34.285714285714285</c:v>
                </c:pt>
              </c:numCache>
            </c:numRef>
          </c:yVal>
          <c:smooth val="1"/>
        </c:ser>
        <c:dLbls>
          <c:showVal val="1"/>
          <c:showCatName val="1"/>
        </c:dLbls>
        <c:axId val="69917312"/>
        <c:axId val="69923200"/>
      </c:scatterChart>
      <c:valAx>
        <c:axId val="69917312"/>
        <c:scaling>
          <c:orientation val="minMax"/>
          <c:max val="74"/>
          <c:min val="10"/>
        </c:scaling>
        <c:axPos val="b"/>
        <c:majorGridlines/>
        <c:numFmt formatCode="General" sourceLinked="1"/>
        <c:tickLblPos val="nextTo"/>
        <c:crossAx val="69923200"/>
        <c:crosses val="autoZero"/>
        <c:crossBetween val="midCat"/>
        <c:majorUnit val="4"/>
        <c:minorUnit val="4"/>
      </c:valAx>
      <c:valAx>
        <c:axId val="69923200"/>
        <c:scaling>
          <c:orientation val="minMax"/>
          <c:max val="40"/>
          <c:min val="16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bevel/>
            </a:ln>
          </c:spPr>
        </c:majorGridlines>
        <c:numFmt formatCode="0.0" sourceLinked="1"/>
        <c:tickLblPos val="nextTo"/>
        <c:crossAx val="69917312"/>
        <c:crosses val="autoZero"/>
        <c:crossBetween val="midCat"/>
        <c:majorUnit val="0.1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trendline>
            <c:trendlineType val="log"/>
            <c:dispEq val="1"/>
            <c:trendlineLbl>
              <c:layout>
                <c:manualLayout>
                  <c:x val="0.34962904636920406"/>
                  <c:y val="-6.9286599591717721E-2"/>
                </c:manualLayout>
              </c:layout>
              <c:numFmt formatCode="General" sourceLinked="0"/>
            </c:trendlineLbl>
          </c:trendline>
          <c:xVal>
            <c:numRef>
              <c:f>'Delcho-7'!$A$5:$A$20</c:f>
              <c:numCache>
                <c:formatCode>General</c:formatCode>
                <c:ptCount val="16"/>
                <c:pt idx="0">
                  <c:v>14</c:v>
                </c:pt>
                <c:pt idx="1">
                  <c:v>18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50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66</c:v>
                </c:pt>
                <c:pt idx="14">
                  <c:v>70</c:v>
                </c:pt>
                <c:pt idx="15">
                  <c:v>74</c:v>
                </c:pt>
              </c:numCache>
            </c:numRef>
          </c:xVal>
          <c:yVal>
            <c:numRef>
              <c:f>'Delcho-7'!$I$5:$I$20</c:f>
              <c:numCache>
                <c:formatCode>0.0</c:formatCode>
                <c:ptCount val="16"/>
                <c:pt idx="0">
                  <c:v>18.271428571428576</c:v>
                </c:pt>
                <c:pt idx="1">
                  <c:v>20.542857142857144</c:v>
                </c:pt>
                <c:pt idx="2">
                  <c:v>23.014285714285712</c:v>
                </c:pt>
                <c:pt idx="3">
                  <c:v>25.400000000000002</c:v>
                </c:pt>
                <c:pt idx="4">
                  <c:v>28.314285714285717</c:v>
                </c:pt>
                <c:pt idx="5">
                  <c:v>29.300000000000004</c:v>
                </c:pt>
                <c:pt idx="6">
                  <c:v>30.157142857142855</c:v>
                </c:pt>
                <c:pt idx="7">
                  <c:v>30.871428571428574</c:v>
                </c:pt>
                <c:pt idx="8">
                  <c:v>31.442857142857143</c:v>
                </c:pt>
                <c:pt idx="9">
                  <c:v>32</c:v>
                </c:pt>
                <c:pt idx="10">
                  <c:v>32.571428571428569</c:v>
                </c:pt>
                <c:pt idx="11">
                  <c:v>32.885714285714286</c:v>
                </c:pt>
                <c:pt idx="12">
                  <c:v>33.4</c:v>
                </c:pt>
                <c:pt idx="13">
                  <c:v>33.700000000000003</c:v>
                </c:pt>
                <c:pt idx="14">
                  <c:v>34</c:v>
                </c:pt>
                <c:pt idx="15">
                  <c:v>34.285714285714285</c:v>
                </c:pt>
              </c:numCache>
            </c:numRef>
          </c:yVal>
          <c:smooth val="1"/>
        </c:ser>
        <c:axId val="69837184"/>
        <c:axId val="69838720"/>
      </c:scatterChart>
      <c:valAx>
        <c:axId val="69837184"/>
        <c:scaling>
          <c:orientation val="minMax"/>
        </c:scaling>
        <c:axPos val="b"/>
        <c:numFmt formatCode="General" sourceLinked="1"/>
        <c:tickLblPos val="nextTo"/>
        <c:crossAx val="69838720"/>
        <c:crosses val="autoZero"/>
        <c:crossBetween val="midCat"/>
      </c:valAx>
      <c:valAx>
        <c:axId val="69838720"/>
        <c:scaling>
          <c:orientation val="minMax"/>
        </c:scaling>
        <c:axPos val="l"/>
        <c:majorGridlines/>
        <c:numFmt formatCode="0.0" sourceLinked="1"/>
        <c:tickLblPos val="nextTo"/>
        <c:crossAx val="698371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23</xdr:row>
      <xdr:rowOff>161925</xdr:rowOff>
    </xdr:from>
    <xdr:to>
      <xdr:col>9</xdr:col>
      <xdr:colOff>161924</xdr:colOff>
      <xdr:row>48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17</xdr:row>
      <xdr:rowOff>133350</xdr:rowOff>
    </xdr:from>
    <xdr:to>
      <xdr:col>17</xdr:col>
      <xdr:colOff>342900</xdr:colOff>
      <xdr:row>39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50</xdr:row>
      <xdr:rowOff>114300</xdr:rowOff>
    </xdr:from>
    <xdr:to>
      <xdr:col>7</xdr:col>
      <xdr:colOff>485775</xdr:colOff>
      <xdr:row>70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50</xdr:row>
      <xdr:rowOff>76199</xdr:rowOff>
    </xdr:from>
    <xdr:to>
      <xdr:col>16</xdr:col>
      <xdr:colOff>152400</xdr:colOff>
      <xdr:row>67</xdr:row>
      <xdr:rowOff>123824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</cdr:x>
      <cdr:y>0.09091</cdr:y>
    </cdr:from>
    <cdr:to>
      <cdr:x>1</cdr:x>
      <cdr:y>0.30909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33825" y="381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2</xdr:row>
      <xdr:rowOff>19050</xdr:rowOff>
    </xdr:from>
    <xdr:to>
      <xdr:col>18</xdr:col>
      <xdr:colOff>142875</xdr:colOff>
      <xdr:row>16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76200</xdr:rowOff>
    </xdr:from>
    <xdr:to>
      <xdr:col>9</xdr:col>
      <xdr:colOff>28576</xdr:colOff>
      <xdr:row>114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28</xdr:row>
      <xdr:rowOff>104775</xdr:rowOff>
    </xdr:from>
    <xdr:to>
      <xdr:col>13</xdr:col>
      <xdr:colOff>180975</xdr:colOff>
      <xdr:row>42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selection activeCell="K4" sqref="K4:K15"/>
    </sheetView>
  </sheetViews>
  <sheetFormatPr defaultRowHeight="15"/>
  <cols>
    <col min="10" max="11" width="9.140625" style="5"/>
    <col min="15" max="15" width="10.5703125" customWidth="1"/>
    <col min="16" max="16" width="9.5703125" style="23" bestFit="1" customWidth="1"/>
    <col min="17" max="17" width="17.85546875" style="28" bestFit="1" customWidth="1"/>
    <col min="18" max="18" width="9.140625" style="4"/>
  </cols>
  <sheetData>
    <row r="1" spans="1:18">
      <c r="O1" t="s">
        <v>15</v>
      </c>
      <c r="Q1" s="28" t="s">
        <v>16</v>
      </c>
    </row>
    <row r="2" spans="1:18">
      <c r="J2" s="5" t="s">
        <v>1</v>
      </c>
      <c r="N2" t="s">
        <v>13</v>
      </c>
      <c r="P2" s="23" t="s">
        <v>14</v>
      </c>
      <c r="Q2" s="29"/>
    </row>
    <row r="3" spans="1:18">
      <c r="A3" s="7"/>
      <c r="B3" s="7" t="s">
        <v>4</v>
      </c>
      <c r="C3" s="7" t="s">
        <v>5</v>
      </c>
      <c r="D3" s="38" t="s">
        <v>7</v>
      </c>
      <c r="E3" s="38"/>
      <c r="F3" s="38"/>
      <c r="G3" s="38"/>
      <c r="H3" s="38"/>
      <c r="I3" s="7" t="s">
        <v>6</v>
      </c>
      <c r="J3" s="9" t="s">
        <v>0</v>
      </c>
      <c r="K3" s="9" t="s">
        <v>2</v>
      </c>
      <c r="L3" s="7" t="s">
        <v>8</v>
      </c>
      <c r="M3" s="7" t="s">
        <v>17</v>
      </c>
      <c r="N3" s="7" t="s">
        <v>13</v>
      </c>
      <c r="O3" s="7" t="s">
        <v>18</v>
      </c>
      <c r="P3" s="24" t="s">
        <v>19</v>
      </c>
      <c r="Q3" s="30" t="s">
        <v>20</v>
      </c>
      <c r="R3" s="11" t="s">
        <v>21</v>
      </c>
    </row>
    <row r="4" spans="1:18">
      <c r="A4" s="7"/>
      <c r="B4" s="7">
        <v>14</v>
      </c>
      <c r="C4" s="7">
        <v>19</v>
      </c>
      <c r="D4" s="7">
        <v>14.9</v>
      </c>
      <c r="E4" s="7">
        <v>15.4</v>
      </c>
      <c r="F4" s="7">
        <v>14.4</v>
      </c>
      <c r="G4" s="7">
        <v>14.7</v>
      </c>
      <c r="H4" s="7"/>
      <c r="I4" s="8">
        <f>SUM(E4:G4)/3</f>
        <v>14.833333333333334</v>
      </c>
      <c r="J4" s="9">
        <f>C4*K4</f>
        <v>0</v>
      </c>
      <c r="K4" s="9"/>
      <c r="L4" s="8">
        <f>B4/$C$20</f>
        <v>0.42286593025938085</v>
      </c>
      <c r="M4" s="10">
        <f>(C4/$C$16)</f>
        <v>4.810126582278481E-2</v>
      </c>
      <c r="N4" s="8">
        <f>J4*I4</f>
        <v>0</v>
      </c>
      <c r="O4" s="7">
        <v>0.4</v>
      </c>
      <c r="P4" s="24">
        <f>TREND(C4:C5,L4:L5,O4)</f>
        <v>17.86445206131301</v>
      </c>
      <c r="Q4" s="26">
        <f>P4/$P$16</f>
        <v>4.0114608395110038E-2</v>
      </c>
      <c r="R4" s="11">
        <f>Q4</f>
        <v>4.0114608395110038E-2</v>
      </c>
    </row>
    <row r="5" spans="1:18">
      <c r="A5" s="7"/>
      <c r="B5" s="7">
        <f>B4+4</f>
        <v>18</v>
      </c>
      <c r="C5" s="7">
        <v>25</v>
      </c>
      <c r="D5" s="7">
        <v>17.3</v>
      </c>
      <c r="E5" s="7">
        <v>16.399999999999999</v>
      </c>
      <c r="F5" s="7">
        <v>16.899999999999999</v>
      </c>
      <c r="G5" s="7">
        <v>17.399999999999999</v>
      </c>
      <c r="H5" s="7">
        <v>17.899999999999999</v>
      </c>
      <c r="I5" s="8">
        <f t="shared" ref="I5:I10" si="0">SUM(D5:H5)/5</f>
        <v>17.18</v>
      </c>
      <c r="J5" s="9">
        <f t="shared" ref="J5:J15" si="1">C5*K5</f>
        <v>0.63585000000000003</v>
      </c>
      <c r="K5" s="9">
        <f>$C$18*(B5)^2/40000</f>
        <v>2.5434000000000002E-2</v>
      </c>
      <c r="L5" s="8">
        <f t="shared" ref="L5:L15" si="2">B5/$C$20</f>
        <v>0.54368476747634686</v>
      </c>
      <c r="M5" s="10">
        <f t="shared" ref="M5:M15" si="3">(C5/$C$16)</f>
        <v>6.3291139240506333E-2</v>
      </c>
      <c r="N5" s="8">
        <f t="shared" ref="N5:N15" si="4">J5*I5</f>
        <v>10.923903000000001</v>
      </c>
      <c r="O5" s="7">
        <f>O4+0.1</f>
        <v>0.5</v>
      </c>
      <c r="P5" s="24">
        <f>TREND(C4:C5,L4:L5,O5)</f>
        <v>22.830565076641257</v>
      </c>
      <c r="Q5" s="26">
        <f t="shared" ref="Q5:Q15" si="5">P5/$P$16</f>
        <v>5.1266009970261955E-2</v>
      </c>
      <c r="R5" s="11">
        <f>R4+Q5</f>
        <v>9.1380618365371993E-2</v>
      </c>
    </row>
    <row r="6" spans="1:18">
      <c r="A6" s="7"/>
      <c r="B6" s="7">
        <f t="shared" ref="B6:B15" si="6">B5+4</f>
        <v>22</v>
      </c>
      <c r="C6" s="7">
        <v>52</v>
      </c>
      <c r="D6" s="7">
        <v>20.100000000000001</v>
      </c>
      <c r="E6" s="7">
        <v>19.399999999999999</v>
      </c>
      <c r="F6" s="7">
        <v>19.7</v>
      </c>
      <c r="G6" s="7">
        <v>20.9</v>
      </c>
      <c r="H6" s="7">
        <v>19.899999999999999</v>
      </c>
      <c r="I6" s="8">
        <f t="shared" si="0"/>
        <v>20</v>
      </c>
      <c r="J6" s="9">
        <f t="shared" si="1"/>
        <v>1.9756879999999999</v>
      </c>
      <c r="K6" s="9">
        <f t="shared" ref="K6:K15" si="7">$C$18*(B6)^2/40000</f>
        <v>3.7994E-2</v>
      </c>
      <c r="L6" s="8">
        <f t="shared" si="2"/>
        <v>0.66450360469331282</v>
      </c>
      <c r="M6" s="10">
        <f t="shared" si="3"/>
        <v>0.13164556962025317</v>
      </c>
      <c r="N6" s="8">
        <f t="shared" si="4"/>
        <v>39.513759999999998</v>
      </c>
      <c r="O6" s="7">
        <f t="shared" ref="O6:O15" si="8">O5+0.1</f>
        <v>0.6</v>
      </c>
      <c r="P6" s="24">
        <f>TREND(C5:C6,L5:L6,O6)</f>
        <v>37.585051413862772</v>
      </c>
      <c r="Q6" s="26">
        <f t="shared" si="5"/>
        <v>8.4397193588839792E-2</v>
      </c>
      <c r="R6" s="11">
        <f t="shared" ref="R6:R15" si="9">R5+Q6</f>
        <v>0.17577781195421177</v>
      </c>
    </row>
    <row r="7" spans="1:18">
      <c r="A7" s="7"/>
      <c r="B7" s="7">
        <f t="shared" si="6"/>
        <v>26</v>
      </c>
      <c r="C7" s="7">
        <v>75</v>
      </c>
      <c r="D7" s="7">
        <v>21.9</v>
      </c>
      <c r="E7" s="7">
        <v>21.4</v>
      </c>
      <c r="F7" s="7">
        <v>22.4</v>
      </c>
      <c r="G7" s="7">
        <v>22.7</v>
      </c>
      <c r="H7" s="7">
        <v>22.9</v>
      </c>
      <c r="I7" s="8">
        <f t="shared" si="0"/>
        <v>22.259999999999998</v>
      </c>
      <c r="J7" s="9">
        <f t="shared" si="1"/>
        <v>3.9799499999999997</v>
      </c>
      <c r="K7" s="9">
        <f t="shared" si="7"/>
        <v>5.3065999999999995E-2</v>
      </c>
      <c r="L7" s="8">
        <f t="shared" si="2"/>
        <v>0.78532244191027878</v>
      </c>
      <c r="M7" s="10">
        <f t="shared" si="3"/>
        <v>0.189873417721519</v>
      </c>
      <c r="N7" s="8">
        <f t="shared" si="4"/>
        <v>88.593686999999989</v>
      </c>
      <c r="O7" s="7">
        <f t="shared" si="8"/>
        <v>0.7</v>
      </c>
      <c r="P7" s="24">
        <f>TREND(C6:C7,L6:L7,O7)</f>
        <v>58.757365911308085</v>
      </c>
      <c r="Q7" s="26">
        <f t="shared" si="5"/>
        <v>0.13193960362012211</v>
      </c>
      <c r="R7" s="11">
        <f t="shared" si="9"/>
        <v>0.30771741557433385</v>
      </c>
    </row>
    <row r="8" spans="1:18">
      <c r="A8" s="7"/>
      <c r="B8" s="7">
        <f t="shared" si="6"/>
        <v>30</v>
      </c>
      <c r="C8" s="7">
        <v>68</v>
      </c>
      <c r="D8" s="7">
        <v>23.4</v>
      </c>
      <c r="E8" s="7">
        <v>22.9</v>
      </c>
      <c r="F8" s="7">
        <v>24.4</v>
      </c>
      <c r="G8" s="7">
        <v>23.9</v>
      </c>
      <c r="H8" s="7">
        <v>24.7</v>
      </c>
      <c r="I8" s="8">
        <f t="shared" si="0"/>
        <v>23.86</v>
      </c>
      <c r="J8" s="9">
        <f t="shared" si="1"/>
        <v>4.8042000000000007</v>
      </c>
      <c r="K8" s="9">
        <f t="shared" si="7"/>
        <v>7.0650000000000004E-2</v>
      </c>
      <c r="L8" s="8">
        <f t="shared" si="2"/>
        <v>0.90614127912724474</v>
      </c>
      <c r="M8" s="10">
        <f t="shared" si="3"/>
        <v>0.17215189873417722</v>
      </c>
      <c r="N8" s="8">
        <f t="shared" si="4"/>
        <v>114.62821200000002</v>
      </c>
      <c r="O8" s="7">
        <f t="shared" si="8"/>
        <v>0.79999999999999993</v>
      </c>
      <c r="P8" s="24">
        <f>TREND(C7:C8,L7:L8,O8)</f>
        <v>74.149611856936332</v>
      </c>
      <c r="Q8" s="26">
        <f t="shared" si="5"/>
        <v>0.16650287577148276</v>
      </c>
      <c r="R8" s="11">
        <f t="shared" si="9"/>
        <v>0.47422029134581661</v>
      </c>
    </row>
    <row r="9" spans="1:18">
      <c r="A9" s="7"/>
      <c r="B9" s="7">
        <f t="shared" si="6"/>
        <v>34</v>
      </c>
      <c r="C9" s="7">
        <v>48</v>
      </c>
      <c r="D9" s="7">
        <v>25.9</v>
      </c>
      <c r="E9" s="7">
        <v>24.9</v>
      </c>
      <c r="F9" s="7">
        <v>25.4</v>
      </c>
      <c r="G9" s="7">
        <v>26.4</v>
      </c>
      <c r="H9" s="7">
        <v>24.4</v>
      </c>
      <c r="I9" s="8">
        <f t="shared" si="0"/>
        <v>25.4</v>
      </c>
      <c r="J9" s="9">
        <f t="shared" si="1"/>
        <v>4.3558080000000006</v>
      </c>
      <c r="K9" s="9">
        <f t="shared" si="7"/>
        <v>9.0746000000000007E-2</v>
      </c>
      <c r="L9" s="8">
        <f t="shared" si="2"/>
        <v>1.0269601163442106</v>
      </c>
      <c r="M9" s="10">
        <f t="shared" si="3"/>
        <v>0.12151898734177215</v>
      </c>
      <c r="N9" s="8">
        <f t="shared" si="4"/>
        <v>110.6375232</v>
      </c>
      <c r="O9" s="7">
        <f t="shared" si="8"/>
        <v>0.89999999999999991</v>
      </c>
      <c r="P9" s="24">
        <f>TREND(C8:C9,L8:L9,O9)</f>
        <v>69.016609540152501</v>
      </c>
      <c r="Q9" s="26">
        <f t="shared" si="5"/>
        <v>0.15497672444468735</v>
      </c>
      <c r="R9" s="11">
        <f t="shared" si="9"/>
        <v>0.62919701579050402</v>
      </c>
    </row>
    <row r="10" spans="1:18">
      <c r="A10" s="7"/>
      <c r="B10" s="7">
        <f t="shared" si="6"/>
        <v>38</v>
      </c>
      <c r="C10" s="7">
        <v>32</v>
      </c>
      <c r="D10" s="7">
        <v>26.9</v>
      </c>
      <c r="E10" s="7">
        <v>25.9</v>
      </c>
      <c r="F10" s="7">
        <v>26.4</v>
      </c>
      <c r="G10" s="7">
        <v>27.7</v>
      </c>
      <c r="H10" s="7">
        <v>27.4</v>
      </c>
      <c r="I10" s="8">
        <f t="shared" si="0"/>
        <v>26.859999999999996</v>
      </c>
      <c r="J10" s="9">
        <f t="shared" si="1"/>
        <v>3.6273279999999999</v>
      </c>
      <c r="K10" s="9">
        <f t="shared" si="7"/>
        <v>0.113354</v>
      </c>
      <c r="L10" s="8">
        <f>B10/$C$20</f>
        <v>1.1477789535611767</v>
      </c>
      <c r="M10" s="10">
        <f t="shared" si="3"/>
        <v>8.1012658227848103E-2</v>
      </c>
      <c r="N10" s="8">
        <f t="shared" si="4"/>
        <v>97.43003007999998</v>
      </c>
      <c r="O10" s="7">
        <f t="shared" si="8"/>
        <v>0.99999999999999989</v>
      </c>
      <c r="P10" s="24">
        <f t="shared" ref="P10:P15" si="10">TREND(C8:C9,L8:L9,O10)</f>
        <v>52.462899489058316</v>
      </c>
      <c r="Q10" s="26">
        <f t="shared" si="5"/>
        <v>0.11780538586084757</v>
      </c>
      <c r="R10" s="11">
        <f t="shared" si="9"/>
        <v>0.74700240165135157</v>
      </c>
    </row>
    <row r="11" spans="1:18">
      <c r="A11" s="7"/>
      <c r="B11" s="7">
        <f t="shared" si="6"/>
        <v>42</v>
      </c>
      <c r="C11" s="7">
        <v>19</v>
      </c>
      <c r="D11" s="7">
        <v>27.4</v>
      </c>
      <c r="E11" s="7">
        <v>27.9</v>
      </c>
      <c r="F11" s="7">
        <v>27.7</v>
      </c>
      <c r="G11" s="7"/>
      <c r="H11" s="7"/>
      <c r="I11" s="8">
        <f>SUM(D11:H11)/3</f>
        <v>27.666666666666668</v>
      </c>
      <c r="J11" s="9">
        <f t="shared" si="1"/>
        <v>2.6310060000000002</v>
      </c>
      <c r="K11" s="9">
        <f t="shared" si="7"/>
        <v>0.13847400000000001</v>
      </c>
      <c r="L11" s="8">
        <f t="shared" si="2"/>
        <v>1.2685977907781427</v>
      </c>
      <c r="M11" s="10">
        <f t="shared" si="3"/>
        <v>4.810126582278481E-2</v>
      </c>
      <c r="N11" s="8">
        <f t="shared" si="4"/>
        <v>72.791166000000004</v>
      </c>
      <c r="O11" s="7">
        <f t="shared" si="8"/>
        <v>1.0999999999999999</v>
      </c>
      <c r="P11" s="24">
        <f t="shared" si="10"/>
        <v>38.327351550371304</v>
      </c>
      <c r="Q11" s="26">
        <f t="shared" si="5"/>
        <v>8.6064027767995016E-2</v>
      </c>
      <c r="R11" s="11">
        <f t="shared" si="9"/>
        <v>0.83306642941934661</v>
      </c>
    </row>
    <row r="12" spans="1:18">
      <c r="A12" s="7"/>
      <c r="B12" s="7">
        <f t="shared" si="6"/>
        <v>46</v>
      </c>
      <c r="C12" s="7">
        <v>17</v>
      </c>
      <c r="D12" s="7">
        <v>27.9</v>
      </c>
      <c r="E12" s="7">
        <v>28.9</v>
      </c>
      <c r="F12" s="7">
        <v>28.7</v>
      </c>
      <c r="G12" s="7"/>
      <c r="H12" s="7"/>
      <c r="I12" s="8">
        <f>SUM(D12:H12)/3</f>
        <v>28.5</v>
      </c>
      <c r="J12" s="9">
        <f t="shared" si="1"/>
        <v>2.8238020000000001</v>
      </c>
      <c r="K12" s="9">
        <f t="shared" si="7"/>
        <v>0.166106</v>
      </c>
      <c r="L12" s="8">
        <f t="shared" si="2"/>
        <v>1.3894166279951086</v>
      </c>
      <c r="M12" s="10">
        <f t="shared" si="3"/>
        <v>4.3037974683544304E-2</v>
      </c>
      <c r="N12" s="8">
        <f t="shared" si="4"/>
        <v>80.478357000000003</v>
      </c>
      <c r="O12" s="7">
        <f t="shared" si="8"/>
        <v>1.2</v>
      </c>
      <c r="P12" s="24">
        <f t="shared" si="10"/>
        <v>26.38106160146549</v>
      </c>
      <c r="Q12" s="26">
        <f t="shared" si="5"/>
        <v>5.9238646198493131E-2</v>
      </c>
      <c r="R12" s="11">
        <f t="shared" si="9"/>
        <v>0.89230507561783978</v>
      </c>
    </row>
    <row r="13" spans="1:18">
      <c r="A13" s="7"/>
      <c r="B13" s="7">
        <f t="shared" si="6"/>
        <v>50</v>
      </c>
      <c r="C13" s="7">
        <v>13</v>
      </c>
      <c r="D13" s="7">
        <v>29.1</v>
      </c>
      <c r="E13" s="7">
        <v>28.8</v>
      </c>
      <c r="F13" s="7">
        <v>29.4</v>
      </c>
      <c r="G13" s="7"/>
      <c r="H13" s="7"/>
      <c r="I13" s="8">
        <f>SUM(D13:H13)/3</f>
        <v>29.100000000000005</v>
      </c>
      <c r="J13" s="9">
        <f t="shared" si="1"/>
        <v>2.55125</v>
      </c>
      <c r="K13" s="9">
        <f t="shared" si="7"/>
        <v>0.19625000000000001</v>
      </c>
      <c r="L13" s="8">
        <f t="shared" si="2"/>
        <v>1.5102354652120746</v>
      </c>
      <c r="M13" s="10">
        <f t="shared" si="3"/>
        <v>3.2911392405063293E-2</v>
      </c>
      <c r="N13" s="8">
        <f t="shared" si="4"/>
        <v>74.241375000000019</v>
      </c>
      <c r="O13" s="7">
        <f t="shared" si="8"/>
        <v>1.3</v>
      </c>
      <c r="P13" s="24">
        <f t="shared" si="10"/>
        <v>18.480176933577578</v>
      </c>
      <c r="Q13" s="26">
        <f t="shared" si="5"/>
        <v>4.1497217950961535E-2</v>
      </c>
      <c r="R13" s="11">
        <f t="shared" si="9"/>
        <v>0.93380229356880129</v>
      </c>
    </row>
    <row r="14" spans="1:18">
      <c r="A14" s="7"/>
      <c r="B14" s="7">
        <f t="shared" si="6"/>
        <v>54</v>
      </c>
      <c r="C14" s="7">
        <v>15</v>
      </c>
      <c r="D14" s="7">
        <v>29.5</v>
      </c>
      <c r="E14" s="7">
        <v>29</v>
      </c>
      <c r="F14" s="7">
        <v>29.9</v>
      </c>
      <c r="G14" s="7"/>
      <c r="H14" s="7"/>
      <c r="I14" s="8">
        <f>SUM(D14:H14)/3</f>
        <v>29.466666666666669</v>
      </c>
      <c r="J14" s="9">
        <f t="shared" si="1"/>
        <v>3.4335900000000001</v>
      </c>
      <c r="K14" s="9">
        <f t="shared" si="7"/>
        <v>0.228906</v>
      </c>
      <c r="L14" s="8">
        <f t="shared" si="2"/>
        <v>1.6310543024290405</v>
      </c>
      <c r="M14" s="10">
        <f t="shared" si="3"/>
        <v>3.7974683544303799E-2</v>
      </c>
      <c r="N14" s="8">
        <f t="shared" si="4"/>
        <v>101.17645200000001</v>
      </c>
      <c r="O14" s="7">
        <f t="shared" si="8"/>
        <v>1.4000000000000001</v>
      </c>
      <c r="P14" s="24">
        <f t="shared" si="10"/>
        <v>16.649611856936311</v>
      </c>
      <c r="Q14" s="26">
        <f t="shared" si="5"/>
        <v>3.7386685988424991E-2</v>
      </c>
      <c r="R14" s="11">
        <f t="shared" si="9"/>
        <v>0.97118897955722627</v>
      </c>
    </row>
    <row r="15" spans="1:18">
      <c r="A15" s="7"/>
      <c r="B15" s="7">
        <f t="shared" si="6"/>
        <v>58</v>
      </c>
      <c r="C15" s="7">
        <v>12</v>
      </c>
      <c r="D15" s="7">
        <v>29.6</v>
      </c>
      <c r="E15" s="7">
        <v>29.7</v>
      </c>
      <c r="F15" s="7">
        <v>30.1</v>
      </c>
      <c r="G15" s="7"/>
      <c r="H15" s="7"/>
      <c r="I15" s="8">
        <f>SUM(D15:H15)/3</f>
        <v>29.8</v>
      </c>
      <c r="J15" s="9">
        <f t="shared" si="1"/>
        <v>3.1688880000000004</v>
      </c>
      <c r="K15" s="9">
        <f t="shared" si="7"/>
        <v>0.26407400000000003</v>
      </c>
      <c r="L15" s="8">
        <f t="shared" si="2"/>
        <v>1.7518731396460065</v>
      </c>
      <c r="M15" s="10">
        <f t="shared" si="3"/>
        <v>3.0379746835443037E-2</v>
      </c>
      <c r="N15" s="8">
        <f t="shared" si="4"/>
        <v>94.432862400000019</v>
      </c>
      <c r="O15" s="7">
        <f t="shared" si="8"/>
        <v>1.5000000000000002</v>
      </c>
      <c r="P15" s="24">
        <f t="shared" si="10"/>
        <v>12.83056507664126</v>
      </c>
      <c r="Q15" s="26">
        <f t="shared" si="5"/>
        <v>2.8811020442773661E-2</v>
      </c>
      <c r="R15" s="11">
        <f t="shared" si="9"/>
        <v>0.99999999999999989</v>
      </c>
    </row>
    <row r="16" spans="1:18">
      <c r="A16" s="1"/>
      <c r="B16" s="1"/>
      <c r="C16" s="12">
        <f>SUM(C4:C15)</f>
        <v>395</v>
      </c>
      <c r="D16" s="1"/>
      <c r="E16" s="1"/>
      <c r="F16" s="1"/>
      <c r="G16" s="1"/>
      <c r="H16" s="1"/>
      <c r="I16" s="1"/>
      <c r="J16" s="14">
        <f>SUM(J4:J15)</f>
        <v>33.987359999999995</v>
      </c>
      <c r="K16" s="6"/>
      <c r="L16" s="12" t="s">
        <v>11</v>
      </c>
      <c r="M16" s="1"/>
      <c r="N16" s="15">
        <f>SUM(N4:N15)/J16</f>
        <v>26.034600147819663</v>
      </c>
      <c r="O16" s="1"/>
      <c r="P16" s="25">
        <f>SUM(P4:P15)</f>
        <v>445.33532236826426</v>
      </c>
      <c r="Q16" s="27">
        <f>SUM(Q4:Q15)</f>
        <v>0.99999999999999989</v>
      </c>
      <c r="R16" s="13"/>
    </row>
    <row r="18" spans="2:3">
      <c r="B18" s="3" t="s">
        <v>3</v>
      </c>
      <c r="C18" s="3">
        <v>3.14</v>
      </c>
    </row>
    <row r="19" spans="2:3">
      <c r="B19" s="3" t="s">
        <v>9</v>
      </c>
      <c r="C19" s="3">
        <f>J16/C16</f>
        <v>8.604394936708859E-2</v>
      </c>
    </row>
    <row r="20" spans="2:3">
      <c r="B20" s="3" t="s">
        <v>10</v>
      </c>
      <c r="C20" s="3">
        <f>(((4*C19)/C18)^(1/2))*100</f>
        <v>33.107420102188343</v>
      </c>
    </row>
    <row r="22" spans="2:3">
      <c r="C22" t="s">
        <v>12</v>
      </c>
    </row>
    <row r="38" spans="3:3">
      <c r="C38" s="2">
        <f>11.059*LN(C20)-14.103</f>
        <v>24.60081741319128</v>
      </c>
    </row>
  </sheetData>
  <mergeCells count="1">
    <mergeCell ref="D3:H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7"/>
  <sheetViews>
    <sheetView tabSelected="1" topLeftCell="A12" workbookViewId="0">
      <selection activeCell="D31" sqref="D31"/>
    </sheetView>
  </sheetViews>
  <sheetFormatPr defaultRowHeight="15"/>
  <cols>
    <col min="8" max="8" width="9.140625" style="5"/>
  </cols>
  <sheetData>
    <row r="1" spans="1:21">
      <c r="A1" t="s">
        <v>22</v>
      </c>
    </row>
    <row r="2" spans="1:21">
      <c r="B2" s="1" t="s">
        <v>24</v>
      </c>
      <c r="C2" s="1" t="s">
        <v>25</v>
      </c>
      <c r="D2" s="1" t="s">
        <v>56</v>
      </c>
      <c r="E2" s="1" t="s">
        <v>27</v>
      </c>
      <c r="F2" s="1" t="s">
        <v>28</v>
      </c>
      <c r="G2" s="17" t="s">
        <v>2</v>
      </c>
      <c r="H2" s="39" t="s">
        <v>29</v>
      </c>
      <c r="I2" s="20"/>
      <c r="J2" s="18"/>
    </row>
    <row r="3" spans="1:21">
      <c r="B3" s="1">
        <v>10</v>
      </c>
      <c r="C3" s="1"/>
      <c r="D3" s="1"/>
      <c r="E3" s="1">
        <v>1</v>
      </c>
      <c r="F3" s="1">
        <v>40</v>
      </c>
      <c r="G3" s="6">
        <f>$B$24*B3^2/40000</f>
        <v>7.8499999999999993E-3</v>
      </c>
      <c r="H3" s="6">
        <f>C3*G3</f>
        <v>0</v>
      </c>
    </row>
    <row r="4" spans="1:21">
      <c r="A4" s="16"/>
      <c r="B4" s="1">
        <f>B3+4</f>
        <v>14</v>
      </c>
      <c r="C4" s="1"/>
      <c r="D4" s="1"/>
      <c r="E4" s="1">
        <f>E3+2</f>
        <v>3</v>
      </c>
      <c r="F4" s="1">
        <v>39</v>
      </c>
      <c r="G4" s="6">
        <f t="shared" ref="G4:G19" si="0">$B$24*B4^2/40000</f>
        <v>1.5386000000000002E-2</v>
      </c>
      <c r="H4" s="6">
        <f t="shared" ref="H4:H19" si="1">C4*G4</f>
        <v>0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>
      <c r="A5" s="16"/>
      <c r="B5" s="1">
        <f t="shared" ref="B5:B19" si="2">B4+4</f>
        <v>18</v>
      </c>
      <c r="C5" s="1">
        <v>10</v>
      </c>
      <c r="D5" s="1">
        <v>18</v>
      </c>
      <c r="E5" s="1">
        <f t="shared" ref="E5:E19" si="3">E4+2</f>
        <v>5</v>
      </c>
      <c r="F5" s="1">
        <v>37</v>
      </c>
      <c r="G5" s="6">
        <f t="shared" si="0"/>
        <v>2.5434000000000002E-2</v>
      </c>
      <c r="H5" s="6">
        <f t="shared" si="1"/>
        <v>0.25434000000000001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>
      <c r="A6" s="16"/>
      <c r="B6" s="1">
        <f t="shared" si="2"/>
        <v>22</v>
      </c>
      <c r="C6" s="1">
        <v>12</v>
      </c>
      <c r="D6" s="1">
        <v>20</v>
      </c>
      <c r="E6" s="1">
        <f t="shared" si="3"/>
        <v>7</v>
      </c>
      <c r="F6" s="17">
        <v>36</v>
      </c>
      <c r="G6" s="6">
        <f t="shared" si="0"/>
        <v>3.7994E-2</v>
      </c>
      <c r="H6" s="6">
        <f t="shared" si="1"/>
        <v>0.455928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>
      <c r="A7" s="16"/>
      <c r="B7" s="1">
        <f t="shared" si="2"/>
        <v>26</v>
      </c>
      <c r="C7" s="1">
        <v>14</v>
      </c>
      <c r="D7" s="1">
        <v>22</v>
      </c>
      <c r="E7" s="1">
        <f t="shared" si="3"/>
        <v>9</v>
      </c>
      <c r="F7" s="17">
        <v>34</v>
      </c>
      <c r="G7" s="6">
        <f t="shared" si="0"/>
        <v>5.3065999999999995E-2</v>
      </c>
      <c r="H7" s="6">
        <f t="shared" si="1"/>
        <v>0.74292399999999992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>
      <c r="A8" s="16"/>
      <c r="B8" s="1">
        <f t="shared" si="2"/>
        <v>30</v>
      </c>
      <c r="C8" s="17">
        <v>22</v>
      </c>
      <c r="D8" s="17">
        <v>26</v>
      </c>
      <c r="E8" s="1">
        <f t="shared" si="3"/>
        <v>11</v>
      </c>
      <c r="F8" s="17">
        <v>33</v>
      </c>
      <c r="G8" s="6">
        <f t="shared" si="0"/>
        <v>7.0650000000000004E-2</v>
      </c>
      <c r="H8" s="6">
        <f t="shared" si="1"/>
        <v>1.5543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>
      <c r="A9" s="16"/>
      <c r="B9" s="1">
        <f t="shared" si="2"/>
        <v>34</v>
      </c>
      <c r="C9" s="17">
        <v>26</v>
      </c>
      <c r="D9" s="17">
        <v>28</v>
      </c>
      <c r="E9" s="1">
        <f t="shared" si="3"/>
        <v>13</v>
      </c>
      <c r="F9" s="17">
        <v>31</v>
      </c>
      <c r="G9" s="6">
        <f t="shared" si="0"/>
        <v>9.0746000000000007E-2</v>
      </c>
      <c r="H9" s="6">
        <f t="shared" si="1"/>
        <v>2.3593960000000003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>
      <c r="A10" s="16"/>
      <c r="B10" s="1">
        <f t="shared" si="2"/>
        <v>38</v>
      </c>
      <c r="C10" s="17">
        <v>38</v>
      </c>
      <c r="D10" s="17">
        <v>29</v>
      </c>
      <c r="E10" s="1">
        <f t="shared" si="3"/>
        <v>15</v>
      </c>
      <c r="F10" s="17">
        <v>29</v>
      </c>
      <c r="G10" s="6">
        <f t="shared" si="0"/>
        <v>0.113354</v>
      </c>
      <c r="H10" s="6">
        <f t="shared" si="1"/>
        <v>4.3074519999999996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>
      <c r="A11" s="16"/>
      <c r="B11" s="1">
        <f t="shared" si="2"/>
        <v>42</v>
      </c>
      <c r="C11" s="17">
        <v>30</v>
      </c>
      <c r="D11" s="17">
        <v>30</v>
      </c>
      <c r="E11" s="1">
        <f t="shared" si="3"/>
        <v>17</v>
      </c>
      <c r="F11" s="17">
        <v>27</v>
      </c>
      <c r="G11" s="6">
        <f t="shared" si="0"/>
        <v>0.13847400000000001</v>
      </c>
      <c r="H11" s="6">
        <f t="shared" si="1"/>
        <v>4.1542200000000005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>
      <c r="A12" s="16"/>
      <c r="B12" s="1">
        <f t="shared" si="2"/>
        <v>46</v>
      </c>
      <c r="C12" s="17">
        <v>22</v>
      </c>
      <c r="D12" s="17">
        <v>31</v>
      </c>
      <c r="E12" s="1">
        <f t="shared" si="3"/>
        <v>19</v>
      </c>
      <c r="F12" s="17">
        <v>25</v>
      </c>
      <c r="G12" s="6">
        <f t="shared" si="0"/>
        <v>0.166106</v>
      </c>
      <c r="H12" s="6">
        <f t="shared" si="1"/>
        <v>3.6543320000000001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>
      <c r="A13" s="16"/>
      <c r="B13" s="1">
        <f t="shared" si="2"/>
        <v>50</v>
      </c>
      <c r="C13" s="17">
        <v>20</v>
      </c>
      <c r="D13" s="17">
        <v>32</v>
      </c>
      <c r="E13" s="1">
        <f t="shared" si="3"/>
        <v>21</v>
      </c>
      <c r="F13" s="17">
        <v>22</v>
      </c>
      <c r="G13" s="6">
        <f t="shared" si="0"/>
        <v>0.19625000000000001</v>
      </c>
      <c r="H13" s="6">
        <f t="shared" si="1"/>
        <v>3.9250000000000003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>
      <c r="A14" s="16"/>
      <c r="B14" s="1">
        <f t="shared" si="2"/>
        <v>54</v>
      </c>
      <c r="C14" s="17">
        <v>14</v>
      </c>
      <c r="D14" s="17">
        <v>34</v>
      </c>
      <c r="E14" s="1">
        <f t="shared" si="3"/>
        <v>23</v>
      </c>
      <c r="F14" s="17">
        <v>19</v>
      </c>
      <c r="G14" s="6">
        <f t="shared" si="0"/>
        <v>0.228906</v>
      </c>
      <c r="H14" s="6">
        <f t="shared" si="1"/>
        <v>3.2046839999999999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>
      <c r="A15" s="16"/>
      <c r="B15" s="1">
        <f t="shared" si="2"/>
        <v>58</v>
      </c>
      <c r="C15" s="17">
        <v>8</v>
      </c>
      <c r="D15" s="17">
        <v>34</v>
      </c>
      <c r="E15" s="1">
        <f t="shared" si="3"/>
        <v>25</v>
      </c>
      <c r="F15" s="17">
        <v>15</v>
      </c>
      <c r="G15" s="6">
        <f t="shared" si="0"/>
        <v>0.26407400000000003</v>
      </c>
      <c r="H15" s="6">
        <f t="shared" si="1"/>
        <v>2.1125920000000002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>
      <c r="A16" s="16"/>
      <c r="B16" s="1">
        <f t="shared" si="2"/>
        <v>62</v>
      </c>
      <c r="C16" s="17">
        <v>2</v>
      </c>
      <c r="D16" s="17">
        <v>32</v>
      </c>
      <c r="E16" s="1">
        <f t="shared" si="3"/>
        <v>27</v>
      </c>
      <c r="F16" s="17">
        <v>9</v>
      </c>
      <c r="G16" s="6">
        <f t="shared" si="0"/>
        <v>0.30175400000000002</v>
      </c>
      <c r="H16" s="6">
        <f t="shared" si="1"/>
        <v>0.60350800000000004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7">
      <c r="A17" s="16"/>
      <c r="B17" s="1">
        <f t="shared" si="2"/>
        <v>66</v>
      </c>
      <c r="C17" s="1"/>
      <c r="D17" s="1"/>
      <c r="E17" s="1">
        <f t="shared" si="3"/>
        <v>29</v>
      </c>
      <c r="F17" s="17">
        <v>3</v>
      </c>
      <c r="G17" s="6">
        <f t="shared" si="0"/>
        <v>0.34194600000000003</v>
      </c>
      <c r="H17" s="6">
        <f t="shared" si="1"/>
        <v>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7">
      <c r="A18" s="16"/>
      <c r="B18" s="1">
        <f t="shared" si="2"/>
        <v>70</v>
      </c>
      <c r="C18" s="1"/>
      <c r="D18" s="1"/>
      <c r="E18" s="1">
        <v>29.9</v>
      </c>
      <c r="F18" s="1">
        <v>0</v>
      </c>
      <c r="G18" s="6">
        <f t="shared" si="0"/>
        <v>0.38464999999999999</v>
      </c>
      <c r="H18" s="6">
        <f t="shared" si="1"/>
        <v>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7">
      <c r="A19" s="16"/>
      <c r="B19" s="1">
        <f t="shared" si="2"/>
        <v>74</v>
      </c>
      <c r="C19" s="1"/>
      <c r="D19" s="1"/>
      <c r="E19" s="1">
        <f>31</f>
        <v>31</v>
      </c>
      <c r="F19" s="1"/>
      <c r="G19" s="6">
        <f t="shared" si="0"/>
        <v>0.42986599999999997</v>
      </c>
      <c r="H19" s="6">
        <f t="shared" si="1"/>
        <v>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7">
      <c r="B20" s="1"/>
      <c r="C20" s="1">
        <f>SUM(C3:C19)</f>
        <v>218</v>
      </c>
      <c r="D20" s="1"/>
      <c r="E20" s="1"/>
      <c r="F20" s="1"/>
      <c r="G20" s="6">
        <f>SUM(G3:G19)</f>
        <v>2.8665060000000002</v>
      </c>
      <c r="H20" s="6">
        <f>SUM(H3:H19)</f>
        <v>27.328676000000002</v>
      </c>
    </row>
    <row r="21" spans="1:27">
      <c r="B21" s="16"/>
    </row>
    <row r="22" spans="1:27">
      <c r="A22" t="s">
        <v>26</v>
      </c>
      <c r="B22" s="16">
        <v>40</v>
      </c>
    </row>
    <row r="23" spans="1:27">
      <c r="A23" t="s">
        <v>23</v>
      </c>
      <c r="B23" s="16">
        <v>29.9</v>
      </c>
      <c r="J23" s="1" t="s">
        <v>41</v>
      </c>
      <c r="K23" s="1">
        <f>10</f>
        <v>10</v>
      </c>
      <c r="L23" s="1">
        <f>K23+4</f>
        <v>14</v>
      </c>
      <c r="M23" s="1">
        <f>L23+4</f>
        <v>18</v>
      </c>
      <c r="N23" s="1">
        <f t="shared" ref="N23:X23" si="4">M23+4</f>
        <v>22</v>
      </c>
      <c r="O23" s="1">
        <f t="shared" si="4"/>
        <v>26</v>
      </c>
      <c r="P23" s="1">
        <f t="shared" si="4"/>
        <v>30</v>
      </c>
      <c r="Q23" s="1">
        <f t="shared" si="4"/>
        <v>34</v>
      </c>
      <c r="R23" s="1">
        <f t="shared" si="4"/>
        <v>38</v>
      </c>
      <c r="S23" s="1">
        <f t="shared" si="4"/>
        <v>42</v>
      </c>
      <c r="T23" s="1">
        <f t="shared" si="4"/>
        <v>46</v>
      </c>
      <c r="U23" s="1">
        <f t="shared" si="4"/>
        <v>50</v>
      </c>
      <c r="V23" s="1">
        <f t="shared" si="4"/>
        <v>54</v>
      </c>
      <c r="W23" s="1">
        <f t="shared" si="4"/>
        <v>58</v>
      </c>
      <c r="X23" s="1">
        <f t="shared" si="4"/>
        <v>62</v>
      </c>
      <c r="Y23" s="1">
        <f>X23+4</f>
        <v>66</v>
      </c>
      <c r="Z23" s="1">
        <f>Y23+4</f>
        <v>70</v>
      </c>
      <c r="AA23" s="1">
        <f>Z23+4</f>
        <v>74</v>
      </c>
    </row>
    <row r="24" spans="1:27">
      <c r="A24" t="s">
        <v>3</v>
      </c>
      <c r="B24">
        <v>3.14</v>
      </c>
      <c r="J24" s="1" t="s">
        <v>42</v>
      </c>
      <c r="K24" s="1" t="s">
        <v>44</v>
      </c>
      <c r="L24" s="1" t="s">
        <v>44</v>
      </c>
      <c r="M24" s="1">
        <v>10</v>
      </c>
      <c r="N24" s="1">
        <v>12</v>
      </c>
      <c r="O24" s="1">
        <v>14</v>
      </c>
      <c r="P24" s="1">
        <v>22</v>
      </c>
      <c r="Q24" s="1">
        <v>26</v>
      </c>
      <c r="R24" s="1">
        <v>38</v>
      </c>
      <c r="S24" s="1">
        <v>30</v>
      </c>
      <c r="T24" s="1">
        <v>22</v>
      </c>
      <c r="U24" s="1">
        <v>20</v>
      </c>
      <c r="V24" s="1">
        <v>14</v>
      </c>
      <c r="W24" s="1">
        <v>8</v>
      </c>
      <c r="X24" s="1">
        <v>2</v>
      </c>
      <c r="Y24" s="1" t="s">
        <v>44</v>
      </c>
      <c r="Z24" s="1" t="s">
        <v>44</v>
      </c>
      <c r="AA24" s="1" t="s">
        <v>44</v>
      </c>
    </row>
    <row r="25" spans="1:27">
      <c r="J25" s="1" t="s">
        <v>43</v>
      </c>
      <c r="K25" s="1" t="s">
        <v>44</v>
      </c>
      <c r="L25" s="1" t="s">
        <v>44</v>
      </c>
      <c r="M25" s="1">
        <v>18</v>
      </c>
      <c r="N25" s="1">
        <v>20</v>
      </c>
      <c r="O25" s="1">
        <v>22</v>
      </c>
      <c r="P25" s="1">
        <v>26</v>
      </c>
      <c r="Q25" s="1">
        <v>28</v>
      </c>
      <c r="R25" s="1">
        <v>29</v>
      </c>
      <c r="S25" s="1">
        <v>30</v>
      </c>
      <c r="T25" s="1">
        <v>31</v>
      </c>
      <c r="U25" s="1">
        <v>32</v>
      </c>
      <c r="V25" s="1">
        <v>34</v>
      </c>
      <c r="W25" s="1">
        <v>34</v>
      </c>
      <c r="X25" s="1">
        <v>32</v>
      </c>
      <c r="Y25" s="1" t="s">
        <v>44</v>
      </c>
      <c r="Z25" s="1" t="s">
        <v>44</v>
      </c>
      <c r="AA25" s="1" t="s">
        <v>44</v>
      </c>
    </row>
    <row r="26" spans="1:27">
      <c r="A26" t="s">
        <v>6</v>
      </c>
      <c r="B26" s="19">
        <f>13.334*LN(B28)-20.293</f>
        <v>28.881177969707224</v>
      </c>
      <c r="C26" t="s">
        <v>51</v>
      </c>
      <c r="D26">
        <f>-0.0095*B28+1.1099*B28+0.5428</f>
        <v>44.514783999999999</v>
      </c>
    </row>
    <row r="27" spans="1:27">
      <c r="A27" t="s">
        <v>30</v>
      </c>
      <c r="B27">
        <f>H20/C20</f>
        <v>0.12536089908256881</v>
      </c>
    </row>
    <row r="28" spans="1:27">
      <c r="A28" t="s">
        <v>31</v>
      </c>
      <c r="B28">
        <f>39.96</f>
        <v>39.96</v>
      </c>
    </row>
    <row r="29" spans="1:27">
      <c r="A29" s="1" t="s">
        <v>32</v>
      </c>
      <c r="B29" s="1">
        <v>2</v>
      </c>
    </row>
    <row r="30" spans="1:27">
      <c r="A30" s="1" t="s">
        <v>33</v>
      </c>
      <c r="B30" s="1">
        <f>E17-1</f>
        <v>28</v>
      </c>
    </row>
    <row r="31" spans="1:27">
      <c r="A31" s="1" t="s">
        <v>34</v>
      </c>
      <c r="B31" s="1">
        <f>TREND(F16:F17,E16:E17,B30)</f>
        <v>6</v>
      </c>
      <c r="D31">
        <v>1.5699999999999999E-4</v>
      </c>
    </row>
    <row r="32" spans="1:27" ht="18">
      <c r="A32" s="1" t="s">
        <v>35</v>
      </c>
      <c r="B32" s="1">
        <f>(PI()*B31^2)/40000</f>
        <v>2.8274333882308137E-3</v>
      </c>
    </row>
    <row r="33" spans="1:4">
      <c r="A33" s="1" t="s">
        <v>36</v>
      </c>
      <c r="B33" s="1">
        <f>B23-B30</f>
        <v>1.8999999999999986</v>
      </c>
    </row>
    <row r="34" spans="1:4">
      <c r="A34" s="1" t="s">
        <v>37</v>
      </c>
      <c r="B34" s="1">
        <f>(B32*B33)/3</f>
        <v>1.7907078125461806E-3</v>
      </c>
    </row>
    <row r="35" spans="1:4">
      <c r="A35" s="1" t="s">
        <v>38</v>
      </c>
      <c r="B35" s="1">
        <f>((B29*B24)/40000)*(F3^2+F4^2+F5^2+F6^2+F7^2+F8^2+F9^2+F10^2+F11^2+F12^2+F13^2+F14^2+F15^2+F16^2)+B34</f>
        <v>1.938856707812546</v>
      </c>
    </row>
    <row r="36" spans="1:4">
      <c r="A36" s="1" t="s">
        <v>39</v>
      </c>
      <c r="B36" s="1">
        <f>B35*(H20/G20)</f>
        <v>18.484659295405535</v>
      </c>
      <c r="C36" t="s">
        <v>57</v>
      </c>
      <c r="D36">
        <f>B35+B34</f>
        <v>1.9406474156250921</v>
      </c>
    </row>
    <row r="37" spans="1:4">
      <c r="A37" s="1" t="s">
        <v>40</v>
      </c>
      <c r="B37" s="1">
        <f>(D36*H20)/B27</f>
        <v>423.06113660627005</v>
      </c>
      <c r="C37" t="s">
        <v>58</v>
      </c>
      <c r="D37">
        <f>(D36*H20)/B27</f>
        <v>423.06113660627005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43"/>
  <sheetViews>
    <sheetView topLeftCell="F18" workbookViewId="0">
      <selection activeCell="W26" sqref="W26:W35"/>
    </sheetView>
  </sheetViews>
  <sheetFormatPr defaultRowHeight="15"/>
  <cols>
    <col min="9" max="9" width="9.140625" style="21"/>
    <col min="14" max="14" width="9.140625" style="31"/>
    <col min="16" max="16" width="9.5703125" bestFit="1" customWidth="1"/>
  </cols>
  <sheetData>
    <row r="1" spans="1:24">
      <c r="A1" t="s">
        <v>45</v>
      </c>
    </row>
    <row r="3" spans="1:24" ht="15.75" thickBot="1"/>
    <row r="4" spans="1:24" ht="32.25" thickBot="1">
      <c r="A4" s="1" t="s">
        <v>4</v>
      </c>
      <c r="B4" s="1">
        <v>1</v>
      </c>
      <c r="C4" s="1">
        <v>2</v>
      </c>
      <c r="D4" s="1">
        <v>3</v>
      </c>
      <c r="E4" s="1">
        <v>4</v>
      </c>
      <c r="F4" s="1">
        <v>6</v>
      </c>
      <c r="G4" s="1">
        <v>8</v>
      </c>
      <c r="H4" s="1">
        <v>10</v>
      </c>
      <c r="I4" s="22" t="s">
        <v>6</v>
      </c>
      <c r="K4" s="36" t="s">
        <v>52</v>
      </c>
      <c r="L4" s="37" t="s">
        <v>53</v>
      </c>
      <c r="M4" s="37" t="s">
        <v>54</v>
      </c>
      <c r="N4" s="37" t="s">
        <v>55</v>
      </c>
      <c r="P4" s="1" t="s">
        <v>4</v>
      </c>
      <c r="Q4" s="1">
        <v>14</v>
      </c>
      <c r="R4" s="1">
        <f>Q4+4</f>
        <v>18</v>
      </c>
      <c r="S4" s="1">
        <f>R4+4</f>
        <v>22</v>
      </c>
      <c r="T4" s="1">
        <f>S4+4</f>
        <v>26</v>
      </c>
      <c r="U4" s="1">
        <f>T4+4</f>
        <v>30</v>
      </c>
      <c r="V4" s="16"/>
      <c r="W4" s="16"/>
      <c r="X4" s="16"/>
    </row>
    <row r="5" spans="1:24">
      <c r="A5" s="1">
        <v>14</v>
      </c>
      <c r="B5" s="1">
        <v>18.8</v>
      </c>
      <c r="C5" s="1">
        <v>20.3</v>
      </c>
      <c r="D5" s="1">
        <v>21.8</v>
      </c>
      <c r="E5" s="1">
        <v>18.7</v>
      </c>
      <c r="F5" s="1">
        <v>16.100000000000001</v>
      </c>
      <c r="G5" s="1">
        <v>18</v>
      </c>
      <c r="H5" s="1">
        <v>14.2</v>
      </c>
      <c r="I5" s="22">
        <f>AVERAGE(B5:H5)</f>
        <v>18.271428571428576</v>
      </c>
      <c r="K5" s="1">
        <v>14</v>
      </c>
      <c r="L5" s="22">
        <f>I5</f>
        <v>18.271428571428576</v>
      </c>
      <c r="M5" s="22">
        <f xml:space="preserve"> 9.7351*LN(K5) - 6.4164</f>
        <v>19.275087009537501</v>
      </c>
      <c r="N5" s="6">
        <f>M5/$M$9</f>
        <v>0.72205949677911241</v>
      </c>
      <c r="P5" s="1">
        <f>A5</f>
        <v>14</v>
      </c>
      <c r="Q5" s="22">
        <f>Q$4*$N5</f>
        <v>10.108832954907573</v>
      </c>
      <c r="R5" s="22">
        <f>R$4*$N5</f>
        <v>12.997070942024024</v>
      </c>
      <c r="S5" s="22">
        <f>S$4*$N5</f>
        <v>15.885308929140473</v>
      </c>
      <c r="T5" s="22">
        <f>T$4*$N5</f>
        <v>18.773546916256922</v>
      </c>
      <c r="U5" s="22">
        <f>U$4*$N5</f>
        <v>21.661784903373373</v>
      </c>
      <c r="V5" s="16"/>
      <c r="W5" s="16"/>
      <c r="X5" s="16"/>
    </row>
    <row r="6" spans="1:24">
      <c r="A6" s="1">
        <f>A5+4</f>
        <v>18</v>
      </c>
      <c r="B6" s="1">
        <v>19.899999999999999</v>
      </c>
      <c r="C6" s="1">
        <v>21.8</v>
      </c>
      <c r="D6" s="1">
        <v>23.5</v>
      </c>
      <c r="E6" s="1">
        <v>19.899999999999999</v>
      </c>
      <c r="F6" s="1">
        <v>19.8</v>
      </c>
      <c r="G6" s="1">
        <v>20.100000000000001</v>
      </c>
      <c r="H6" s="1">
        <v>18.8</v>
      </c>
      <c r="I6" s="22">
        <f t="shared" ref="I6:I20" si="0">AVERAGE(B6:H6)</f>
        <v>20.542857142857144</v>
      </c>
      <c r="K6" s="1">
        <f>K5+4</f>
        <v>18</v>
      </c>
      <c r="L6" s="22">
        <f>I6</f>
        <v>20.542857142857144</v>
      </c>
      <c r="M6" s="22">
        <f t="shared" ref="M6:M20" si="1" xml:space="preserve"> 9.7351*LN(K6) - 6.4164</f>
        <v>21.721658100294949</v>
      </c>
      <c r="N6" s="6">
        <f>M6/$M$9</f>
        <v>0.81370992044529522</v>
      </c>
      <c r="P6" s="1">
        <f t="shared" ref="P6:P20" si="2">A6</f>
        <v>18</v>
      </c>
      <c r="Q6" s="22">
        <f t="shared" ref="Q6:Q20" si="3">Q$4*$N6</f>
        <v>11.391938886234133</v>
      </c>
      <c r="R6" s="22">
        <f t="shared" ref="R6:S20" si="4">R$4*$N6</f>
        <v>14.646778568015314</v>
      </c>
      <c r="S6" s="22">
        <f t="shared" si="4"/>
        <v>17.901618249796496</v>
      </c>
      <c r="T6" s="22">
        <f>T$4*$N6</f>
        <v>21.156457931577677</v>
      </c>
      <c r="U6" s="22">
        <f t="shared" ref="U6:U20" si="5">U$4*$N6</f>
        <v>24.411297613358858</v>
      </c>
      <c r="V6" s="16"/>
      <c r="W6" s="16"/>
      <c r="X6" s="16"/>
    </row>
    <row r="7" spans="1:24">
      <c r="A7" s="1">
        <f t="shared" ref="A7:A20" si="6">A6+4</f>
        <v>22</v>
      </c>
      <c r="B7" s="1">
        <v>23</v>
      </c>
      <c r="C7" s="1">
        <v>23.9</v>
      </c>
      <c r="D7" s="1">
        <v>25.7</v>
      </c>
      <c r="E7" s="1">
        <v>22.5</v>
      </c>
      <c r="F7" s="1">
        <v>23.4</v>
      </c>
      <c r="G7" s="1">
        <v>23</v>
      </c>
      <c r="H7" s="1">
        <v>19.600000000000001</v>
      </c>
      <c r="I7" s="22">
        <f t="shared" si="0"/>
        <v>23.014285714285712</v>
      </c>
      <c r="K7" s="1">
        <f t="shared" ref="K7:K19" si="7">K6+4</f>
        <v>22</v>
      </c>
      <c r="L7" s="22">
        <f>I7</f>
        <v>23.014285714285712</v>
      </c>
      <c r="M7" s="22">
        <f t="shared" si="1"/>
        <v>23.675207387688541</v>
      </c>
      <c r="N7" s="6">
        <f>M7/$M$9</f>
        <v>0.88689137040142985</v>
      </c>
      <c r="P7" s="1">
        <f t="shared" si="2"/>
        <v>22</v>
      </c>
      <c r="Q7" s="22">
        <f t="shared" si="3"/>
        <v>12.416479185620018</v>
      </c>
      <c r="R7" s="22">
        <f t="shared" si="4"/>
        <v>15.964044667225737</v>
      </c>
      <c r="S7" s="22">
        <f t="shared" si="4"/>
        <v>19.511610148831458</v>
      </c>
      <c r="T7" s="22">
        <f>T$4*$N7</f>
        <v>23.059175630437174</v>
      </c>
      <c r="U7" s="22">
        <f t="shared" si="5"/>
        <v>26.606741112042897</v>
      </c>
      <c r="V7" s="16"/>
      <c r="W7" s="16"/>
      <c r="X7" s="16"/>
    </row>
    <row r="8" spans="1:24">
      <c r="A8" s="1">
        <f t="shared" si="6"/>
        <v>26</v>
      </c>
      <c r="B8" s="1">
        <v>24.1</v>
      </c>
      <c r="C8" s="1">
        <v>25.2</v>
      </c>
      <c r="D8" s="1">
        <v>27.5</v>
      </c>
      <c r="E8" s="1">
        <v>25.1</v>
      </c>
      <c r="F8" s="1">
        <v>26</v>
      </c>
      <c r="G8" s="1">
        <v>24.8</v>
      </c>
      <c r="H8" s="1">
        <v>25.1</v>
      </c>
      <c r="I8" s="22">
        <f t="shared" si="0"/>
        <v>25.400000000000002</v>
      </c>
      <c r="K8" s="1">
        <f t="shared" si="7"/>
        <v>26</v>
      </c>
      <c r="L8" s="22">
        <f>I8</f>
        <v>25.400000000000002</v>
      </c>
      <c r="M8" s="22">
        <f t="shared" si="1"/>
        <v>25.301495607292928</v>
      </c>
      <c r="N8" s="6">
        <f>M8/$M$9</f>
        <v>0.94781337053996617</v>
      </c>
      <c r="P8" s="1">
        <f t="shared" si="2"/>
        <v>26</v>
      </c>
      <c r="Q8" s="22">
        <f t="shared" si="3"/>
        <v>13.269387187559527</v>
      </c>
      <c r="R8" s="22">
        <f t="shared" si="4"/>
        <v>17.06064066971939</v>
      </c>
      <c r="S8" s="22">
        <f t="shared" si="4"/>
        <v>20.851894151879257</v>
      </c>
      <c r="T8" s="22">
        <f>T$4*$N8</f>
        <v>24.643147634039121</v>
      </c>
      <c r="U8" s="22">
        <f t="shared" si="5"/>
        <v>28.434401116198984</v>
      </c>
      <c r="V8" s="16"/>
      <c r="W8" s="16"/>
      <c r="X8" s="16"/>
    </row>
    <row r="9" spans="1:24">
      <c r="A9" s="1">
        <f t="shared" si="6"/>
        <v>30</v>
      </c>
      <c r="B9" s="1">
        <v>26.8</v>
      </c>
      <c r="C9" s="1">
        <v>28.2</v>
      </c>
      <c r="D9" s="1">
        <v>29.9</v>
      </c>
      <c r="E9" s="1">
        <v>27.4</v>
      </c>
      <c r="F9" s="1">
        <v>29.1</v>
      </c>
      <c r="G9" s="1">
        <v>26.9</v>
      </c>
      <c r="H9" s="1">
        <v>29.9</v>
      </c>
      <c r="I9" s="22">
        <f t="shared" si="0"/>
        <v>28.314285714285717</v>
      </c>
      <c r="K9" s="1">
        <f t="shared" si="7"/>
        <v>30</v>
      </c>
      <c r="L9" s="22">
        <f>I9</f>
        <v>28.314285714285717</v>
      </c>
      <c r="M9" s="22">
        <f t="shared" si="1"/>
        <v>26.694596630219248</v>
      </c>
      <c r="N9" s="6">
        <f t="shared" ref="N9:N20" si="8">M9/$M$9</f>
        <v>1</v>
      </c>
      <c r="P9" s="1">
        <f t="shared" si="2"/>
        <v>30</v>
      </c>
      <c r="Q9" s="22">
        <f t="shared" si="3"/>
        <v>14</v>
      </c>
      <c r="R9" s="22">
        <f t="shared" si="4"/>
        <v>18</v>
      </c>
      <c r="S9" s="22">
        <f t="shared" si="4"/>
        <v>22</v>
      </c>
      <c r="T9" s="22">
        <f>T$4*$N9</f>
        <v>26</v>
      </c>
      <c r="U9" s="22">
        <f t="shared" si="5"/>
        <v>30</v>
      </c>
      <c r="V9" s="16"/>
      <c r="W9" s="16"/>
      <c r="X9" s="16"/>
    </row>
    <row r="10" spans="1:24">
      <c r="A10" s="1">
        <f t="shared" si="6"/>
        <v>34</v>
      </c>
      <c r="B10" s="1">
        <v>28</v>
      </c>
      <c r="C10" s="1">
        <v>29.1</v>
      </c>
      <c r="D10" s="1">
        <v>30.1</v>
      </c>
      <c r="E10" s="1">
        <v>28.8</v>
      </c>
      <c r="F10" s="1">
        <v>30.8</v>
      </c>
      <c r="G10" s="1">
        <v>28</v>
      </c>
      <c r="H10" s="1">
        <v>30.3</v>
      </c>
      <c r="I10" s="22">
        <f t="shared" si="0"/>
        <v>29.300000000000004</v>
      </c>
      <c r="K10" s="1">
        <f t="shared" si="7"/>
        <v>34</v>
      </c>
      <c r="L10" s="22">
        <f t="shared" ref="L10:L20" si="9">I10</f>
        <v>29.300000000000004</v>
      </c>
      <c r="M10" s="22">
        <f t="shared" si="1"/>
        <v>27.913072343190795</v>
      </c>
      <c r="N10" s="6">
        <f t="shared" si="8"/>
        <v>1.0456450318336028</v>
      </c>
      <c r="P10" s="1">
        <f t="shared" si="2"/>
        <v>34</v>
      </c>
      <c r="Q10" s="22">
        <f t="shared" si="3"/>
        <v>14.639030445670439</v>
      </c>
      <c r="R10" s="22">
        <f t="shared" si="4"/>
        <v>18.82161057300485</v>
      </c>
      <c r="S10" s="22">
        <f t="shared" si="4"/>
        <v>23.004190700339262</v>
      </c>
      <c r="T10" s="22">
        <f t="shared" ref="T10:T20" si="10">T$4*$N10</f>
        <v>27.186770827673673</v>
      </c>
      <c r="U10" s="22">
        <f t="shared" si="5"/>
        <v>31.369350955008084</v>
      </c>
      <c r="V10" s="16"/>
      <c r="W10" s="16"/>
      <c r="X10" s="16"/>
    </row>
    <row r="11" spans="1:24">
      <c r="A11" s="1">
        <f t="shared" si="6"/>
        <v>38</v>
      </c>
      <c r="B11" s="1">
        <v>29.1</v>
      </c>
      <c r="C11" s="1">
        <v>30.1</v>
      </c>
      <c r="D11" s="1">
        <v>30.8</v>
      </c>
      <c r="E11" s="1">
        <v>29.9</v>
      </c>
      <c r="F11" s="1">
        <v>31.5</v>
      </c>
      <c r="G11" s="1">
        <v>29.1</v>
      </c>
      <c r="H11" s="1">
        <v>30.6</v>
      </c>
      <c r="I11" s="22">
        <f t="shared" si="0"/>
        <v>30.157142857142855</v>
      </c>
      <c r="K11" s="1">
        <f t="shared" si="7"/>
        <v>38</v>
      </c>
      <c r="L11" s="22">
        <f t="shared" si="9"/>
        <v>30.157142857142855</v>
      </c>
      <c r="M11" s="22">
        <f t="shared" si="1"/>
        <v>28.995865023552337</v>
      </c>
      <c r="N11" s="6">
        <f t="shared" si="8"/>
        <v>1.086207273524709</v>
      </c>
      <c r="P11" s="1">
        <f t="shared" si="2"/>
        <v>38</v>
      </c>
      <c r="Q11" s="22">
        <f t="shared" si="3"/>
        <v>15.206901829345927</v>
      </c>
      <c r="R11" s="22">
        <f t="shared" si="4"/>
        <v>19.551730923444762</v>
      </c>
      <c r="S11" s="22">
        <f t="shared" si="4"/>
        <v>23.896560017543599</v>
      </c>
      <c r="T11" s="22">
        <f t="shared" si="10"/>
        <v>28.241389111642434</v>
      </c>
      <c r="U11" s="22">
        <f t="shared" si="5"/>
        <v>32.586218205741268</v>
      </c>
      <c r="V11" s="16"/>
      <c r="W11" s="16"/>
      <c r="X11" s="16"/>
    </row>
    <row r="12" spans="1:24">
      <c r="A12" s="1">
        <f t="shared" si="6"/>
        <v>42</v>
      </c>
      <c r="B12" s="1">
        <v>30</v>
      </c>
      <c r="C12" s="1">
        <v>30.8</v>
      </c>
      <c r="D12" s="1">
        <v>31.5</v>
      </c>
      <c r="E12" s="1">
        <v>30.5</v>
      </c>
      <c r="F12" s="1">
        <v>32</v>
      </c>
      <c r="G12" s="1">
        <v>29.8</v>
      </c>
      <c r="H12" s="1">
        <v>31.5</v>
      </c>
      <c r="I12" s="22">
        <f t="shared" si="0"/>
        <v>30.871428571428574</v>
      </c>
      <c r="K12" s="1">
        <f t="shared" si="7"/>
        <v>42</v>
      </c>
      <c r="L12" s="22">
        <f t="shared" si="9"/>
        <v>30.871428571428574</v>
      </c>
      <c r="M12" s="22">
        <f t="shared" si="1"/>
        <v>29.97018750095042</v>
      </c>
      <c r="N12" s="6">
        <f t="shared" si="8"/>
        <v>1.1227061384783423</v>
      </c>
      <c r="P12" s="1">
        <f t="shared" si="2"/>
        <v>42</v>
      </c>
      <c r="Q12" s="22">
        <f t="shared" si="3"/>
        <v>15.717885938696792</v>
      </c>
      <c r="R12" s="22">
        <f t="shared" si="4"/>
        <v>20.208710492610162</v>
      </c>
      <c r="S12" s="22">
        <f t="shared" si="4"/>
        <v>24.699535046523533</v>
      </c>
      <c r="T12" s="22">
        <f t="shared" si="10"/>
        <v>29.190359600436899</v>
      </c>
      <c r="U12" s="22">
        <f t="shared" si="5"/>
        <v>33.681184154350269</v>
      </c>
      <c r="V12" s="16"/>
      <c r="W12" s="16"/>
      <c r="X12" s="16"/>
    </row>
    <row r="13" spans="1:24">
      <c r="A13" s="1">
        <f t="shared" si="6"/>
        <v>46</v>
      </c>
      <c r="B13" s="1">
        <v>30.8</v>
      </c>
      <c r="C13" s="1">
        <v>31.5</v>
      </c>
      <c r="D13" s="1">
        <v>32</v>
      </c>
      <c r="E13" s="1">
        <v>30.9</v>
      </c>
      <c r="F13" s="1">
        <v>32.6</v>
      </c>
      <c r="G13" s="1">
        <v>30.5</v>
      </c>
      <c r="H13" s="1">
        <v>31.8</v>
      </c>
      <c r="I13" s="22">
        <f t="shared" si="0"/>
        <v>31.442857142857143</v>
      </c>
      <c r="K13" s="1">
        <f t="shared" si="7"/>
        <v>46</v>
      </c>
      <c r="L13" s="22">
        <f t="shared" si="9"/>
        <v>31.442857142857143</v>
      </c>
      <c r="M13" s="22">
        <f t="shared" si="1"/>
        <v>30.855806858960985</v>
      </c>
      <c r="N13" s="6">
        <f t="shared" si="8"/>
        <v>1.1558821167588311</v>
      </c>
      <c r="P13" s="1">
        <f t="shared" si="2"/>
        <v>46</v>
      </c>
      <c r="Q13" s="22">
        <f t="shared" si="3"/>
        <v>16.182349634623634</v>
      </c>
      <c r="R13" s="22">
        <f t="shared" si="4"/>
        <v>20.805878101658962</v>
      </c>
      <c r="S13" s="22">
        <f t="shared" si="4"/>
        <v>25.429406568694283</v>
      </c>
      <c r="T13" s="22">
        <f t="shared" si="10"/>
        <v>30.052935035729611</v>
      </c>
      <c r="U13" s="22">
        <f t="shared" si="5"/>
        <v>34.676463502764932</v>
      </c>
      <c r="V13" s="16"/>
      <c r="W13" s="16"/>
      <c r="X13" s="16"/>
    </row>
    <row r="14" spans="1:24">
      <c r="A14" s="1">
        <f t="shared" si="6"/>
        <v>50</v>
      </c>
      <c r="B14" s="1">
        <v>31.7</v>
      </c>
      <c r="C14" s="1">
        <v>32</v>
      </c>
      <c r="D14" s="1">
        <v>32.4</v>
      </c>
      <c r="E14" s="1">
        <v>31.4</v>
      </c>
      <c r="F14" s="1">
        <v>33</v>
      </c>
      <c r="G14" s="1">
        <v>31.3</v>
      </c>
      <c r="H14" s="1">
        <v>32.200000000000003</v>
      </c>
      <c r="I14" s="22">
        <f t="shared" si="0"/>
        <v>32</v>
      </c>
      <c r="K14" s="1">
        <f t="shared" si="7"/>
        <v>50</v>
      </c>
      <c r="L14" s="22">
        <f t="shared" si="9"/>
        <v>32</v>
      </c>
      <c r="M14" s="22">
        <f t="shared" si="1"/>
        <v>31.66753516014354</v>
      </c>
      <c r="N14" s="6">
        <f t="shared" si="8"/>
        <v>1.1862900795547047</v>
      </c>
      <c r="P14" s="1">
        <f t="shared" si="2"/>
        <v>50</v>
      </c>
      <c r="Q14" s="22">
        <f t="shared" si="3"/>
        <v>16.608061113765864</v>
      </c>
      <c r="R14" s="22">
        <f t="shared" si="4"/>
        <v>21.353221431984686</v>
      </c>
      <c r="S14" s="22">
        <f t="shared" si="4"/>
        <v>26.098381750203501</v>
      </c>
      <c r="T14" s="22">
        <f t="shared" si="10"/>
        <v>30.843542068422323</v>
      </c>
      <c r="U14" s="22">
        <f t="shared" si="5"/>
        <v>35.588702386641138</v>
      </c>
      <c r="V14" s="16"/>
      <c r="W14" s="16"/>
      <c r="X14" s="16"/>
    </row>
    <row r="15" spans="1:24">
      <c r="A15" s="1">
        <f t="shared" si="6"/>
        <v>54</v>
      </c>
      <c r="B15" s="1">
        <v>32.5</v>
      </c>
      <c r="C15" s="1">
        <v>32.4</v>
      </c>
      <c r="D15" s="1">
        <v>32.799999999999997</v>
      </c>
      <c r="E15" s="1">
        <v>31.8</v>
      </c>
      <c r="F15" s="1">
        <v>34</v>
      </c>
      <c r="G15" s="1">
        <v>32</v>
      </c>
      <c r="H15" s="1">
        <v>32.5</v>
      </c>
      <c r="I15" s="22">
        <f t="shared" si="0"/>
        <v>32.571428571428569</v>
      </c>
      <c r="K15" s="1">
        <f t="shared" si="7"/>
        <v>54</v>
      </c>
      <c r="L15" s="22">
        <f t="shared" si="9"/>
        <v>32.571428571428569</v>
      </c>
      <c r="M15" s="22">
        <f t="shared" si="1"/>
        <v>32.416758591707861</v>
      </c>
      <c r="N15" s="6">
        <f t="shared" si="8"/>
        <v>1.2143565621445247</v>
      </c>
      <c r="P15" s="1">
        <f t="shared" si="2"/>
        <v>54</v>
      </c>
      <c r="Q15" s="22">
        <f t="shared" si="3"/>
        <v>17.000991870023345</v>
      </c>
      <c r="R15" s="22">
        <f t="shared" si="4"/>
        <v>21.858418118601445</v>
      </c>
      <c r="S15" s="22">
        <f t="shared" si="4"/>
        <v>26.715844367179542</v>
      </c>
      <c r="T15" s="22">
        <f t="shared" si="10"/>
        <v>31.573270615757643</v>
      </c>
      <c r="U15" s="22">
        <f t="shared" si="5"/>
        <v>36.430696864335744</v>
      </c>
      <c r="V15" s="16"/>
      <c r="W15" s="16"/>
      <c r="X15" s="16"/>
    </row>
    <row r="16" spans="1:24">
      <c r="A16" s="1">
        <f t="shared" si="6"/>
        <v>58</v>
      </c>
      <c r="B16" s="1">
        <v>33</v>
      </c>
      <c r="C16" s="1">
        <v>32.799999999999997</v>
      </c>
      <c r="D16" s="1">
        <v>33.1</v>
      </c>
      <c r="E16" s="1">
        <v>31.4</v>
      </c>
      <c r="F16" s="1">
        <v>34.5</v>
      </c>
      <c r="G16" s="1">
        <v>32.6</v>
      </c>
      <c r="H16" s="1">
        <v>32.799999999999997</v>
      </c>
      <c r="I16" s="22">
        <f t="shared" si="0"/>
        <v>32.885714285714286</v>
      </c>
      <c r="K16" s="1">
        <f t="shared" si="7"/>
        <v>58</v>
      </c>
      <c r="L16" s="22">
        <f t="shared" si="9"/>
        <v>32.885714285714286</v>
      </c>
      <c r="M16" s="22">
        <f t="shared" si="1"/>
        <v>33.112418751970438</v>
      </c>
      <c r="N16" s="6">
        <f t="shared" si="8"/>
        <v>1.2404165236378206</v>
      </c>
      <c r="P16" s="1">
        <f t="shared" si="2"/>
        <v>58</v>
      </c>
      <c r="Q16" s="22">
        <f t="shared" si="3"/>
        <v>17.365831330929488</v>
      </c>
      <c r="R16" s="22">
        <f t="shared" si="4"/>
        <v>22.327497425480772</v>
      </c>
      <c r="S16" s="22">
        <f t="shared" si="4"/>
        <v>27.289163520032055</v>
      </c>
      <c r="T16" s="22">
        <f t="shared" si="10"/>
        <v>32.250829614583338</v>
      </c>
      <c r="U16" s="22">
        <f t="shared" si="5"/>
        <v>37.212495709134622</v>
      </c>
      <c r="V16" s="16"/>
      <c r="W16" s="16"/>
      <c r="X16" s="16"/>
    </row>
    <row r="17" spans="1:24">
      <c r="A17" s="1">
        <f t="shared" si="6"/>
        <v>62</v>
      </c>
      <c r="B17" s="1">
        <v>33.4</v>
      </c>
      <c r="C17" s="1">
        <v>33.1</v>
      </c>
      <c r="D17" s="1">
        <v>33.299999999999997</v>
      </c>
      <c r="E17" s="1">
        <v>32.799999999999997</v>
      </c>
      <c r="F17" s="1">
        <v>35</v>
      </c>
      <c r="G17" s="1">
        <v>33.1</v>
      </c>
      <c r="H17" s="1">
        <v>33.1</v>
      </c>
      <c r="I17" s="22">
        <f t="shared" si="0"/>
        <v>33.4</v>
      </c>
      <c r="K17" s="1">
        <f>K16+4</f>
        <v>62</v>
      </c>
      <c r="L17" s="22">
        <f t="shared" si="9"/>
        <v>33.4</v>
      </c>
      <c r="M17" s="22">
        <f t="shared" si="1"/>
        <v>33.761665951852464</v>
      </c>
      <c r="N17" s="6">
        <f t="shared" si="8"/>
        <v>1.2647378201487052</v>
      </c>
      <c r="P17" s="1">
        <f t="shared" si="2"/>
        <v>62</v>
      </c>
      <c r="Q17" s="22">
        <f t="shared" si="3"/>
        <v>17.706329482081873</v>
      </c>
      <c r="R17" s="22">
        <f t="shared" si="4"/>
        <v>22.765280762676692</v>
      </c>
      <c r="S17" s="22">
        <f t="shared" si="4"/>
        <v>27.824232043271515</v>
      </c>
      <c r="T17" s="22">
        <f t="shared" si="10"/>
        <v>32.883183323866334</v>
      </c>
      <c r="U17" s="22">
        <f t="shared" si="5"/>
        <v>37.942134604461152</v>
      </c>
      <c r="V17" s="16"/>
      <c r="W17" s="16"/>
      <c r="X17" s="16"/>
    </row>
    <row r="18" spans="1:24">
      <c r="A18" s="1">
        <f t="shared" si="6"/>
        <v>66</v>
      </c>
      <c r="B18" s="1">
        <v>33.799999999999997</v>
      </c>
      <c r="C18" s="1">
        <v>33.4</v>
      </c>
      <c r="D18" s="1">
        <v>33.5</v>
      </c>
      <c r="E18" s="1">
        <v>33.1</v>
      </c>
      <c r="F18" s="1">
        <v>35.4</v>
      </c>
      <c r="G18" s="1">
        <v>33.299999999999997</v>
      </c>
      <c r="H18" s="1">
        <v>33.4</v>
      </c>
      <c r="I18" s="22">
        <f t="shared" si="0"/>
        <v>33.700000000000003</v>
      </c>
      <c r="K18" s="1">
        <f t="shared" si="7"/>
        <v>66</v>
      </c>
      <c r="L18" s="22">
        <f t="shared" si="9"/>
        <v>33.700000000000003</v>
      </c>
      <c r="M18" s="22">
        <f t="shared" si="1"/>
        <v>34.370307879101446</v>
      </c>
      <c r="N18" s="6">
        <f t="shared" si="8"/>
        <v>1.2875380121006592</v>
      </c>
      <c r="P18" s="1">
        <f t="shared" si="2"/>
        <v>66</v>
      </c>
      <c r="Q18" s="22">
        <f t="shared" si="3"/>
        <v>18.025532169409228</v>
      </c>
      <c r="R18" s="22">
        <f t="shared" si="4"/>
        <v>23.175684217811867</v>
      </c>
      <c r="S18" s="22">
        <f t="shared" si="4"/>
        <v>28.325836266214502</v>
      </c>
      <c r="T18" s="22">
        <f t="shared" si="10"/>
        <v>33.47598831461714</v>
      </c>
      <c r="U18" s="22">
        <f t="shared" si="5"/>
        <v>38.626140363019779</v>
      </c>
      <c r="V18" s="16"/>
      <c r="W18" s="16"/>
      <c r="X18" s="16"/>
    </row>
    <row r="19" spans="1:24">
      <c r="A19" s="1">
        <f t="shared" si="6"/>
        <v>70</v>
      </c>
      <c r="B19" s="1">
        <v>34.200000000000003</v>
      </c>
      <c r="C19" s="1">
        <v>33.700000000000003</v>
      </c>
      <c r="D19" s="1">
        <v>33.6</v>
      </c>
      <c r="E19" s="1">
        <v>33.299999999999997</v>
      </c>
      <c r="F19" s="1">
        <v>36</v>
      </c>
      <c r="G19" s="1">
        <v>33.4</v>
      </c>
      <c r="H19" s="1">
        <v>33.799999999999997</v>
      </c>
      <c r="I19" s="22">
        <f t="shared" si="0"/>
        <v>34</v>
      </c>
      <c r="K19" s="1">
        <f t="shared" si="7"/>
        <v>70</v>
      </c>
      <c r="L19" s="22">
        <f t="shared" si="9"/>
        <v>34</v>
      </c>
      <c r="M19" s="22">
        <f t="shared" si="1"/>
        <v>34.943126030874708</v>
      </c>
      <c r="N19" s="6">
        <f t="shared" si="8"/>
        <v>1.3089962180330468</v>
      </c>
      <c r="P19" s="1">
        <f t="shared" si="2"/>
        <v>70</v>
      </c>
      <c r="Q19" s="22">
        <f t="shared" si="3"/>
        <v>18.325947052462656</v>
      </c>
      <c r="R19" s="22">
        <f t="shared" si="4"/>
        <v>23.561931924594841</v>
      </c>
      <c r="S19" s="22">
        <f t="shared" si="4"/>
        <v>28.79791679672703</v>
      </c>
      <c r="T19" s="22">
        <f t="shared" si="10"/>
        <v>34.033901668859215</v>
      </c>
      <c r="U19" s="22">
        <f t="shared" si="5"/>
        <v>39.269886540991401</v>
      </c>
      <c r="V19" s="16"/>
      <c r="W19" s="16"/>
      <c r="X19" s="16"/>
    </row>
    <row r="20" spans="1:24">
      <c r="A20" s="1">
        <f t="shared" si="6"/>
        <v>74</v>
      </c>
      <c r="B20" s="1">
        <v>34.6</v>
      </c>
      <c r="C20" s="1">
        <v>33.9</v>
      </c>
      <c r="D20" s="1">
        <v>33.700000000000003</v>
      </c>
      <c r="E20" s="1">
        <v>33.5</v>
      </c>
      <c r="F20" s="1">
        <v>36.6</v>
      </c>
      <c r="G20" s="1">
        <v>33.5</v>
      </c>
      <c r="H20" s="1">
        <v>34.200000000000003</v>
      </c>
      <c r="I20" s="22">
        <f t="shared" si="0"/>
        <v>34.285714285714285</v>
      </c>
      <c r="K20" s="1">
        <f>K19+4</f>
        <v>74</v>
      </c>
      <c r="L20" s="22">
        <f t="shared" si="9"/>
        <v>34.285714285714285</v>
      </c>
      <c r="M20" s="22">
        <f t="shared" si="1"/>
        <v>35.484104088851907</v>
      </c>
      <c r="N20" s="6">
        <f t="shared" si="8"/>
        <v>1.3292616697074426</v>
      </c>
      <c r="P20" s="1">
        <f t="shared" si="2"/>
        <v>74</v>
      </c>
      <c r="Q20" s="22">
        <f t="shared" si="3"/>
        <v>18.609663375904198</v>
      </c>
      <c r="R20" s="22">
        <f t="shared" si="4"/>
        <v>23.926710054733967</v>
      </c>
      <c r="S20" s="22">
        <f t="shared" si="4"/>
        <v>29.243756733563739</v>
      </c>
      <c r="T20" s="22">
        <f t="shared" si="10"/>
        <v>34.560803412393511</v>
      </c>
      <c r="U20" s="22">
        <f t="shared" si="5"/>
        <v>39.87785009122328</v>
      </c>
      <c r="V20" s="16"/>
      <c r="W20" s="16"/>
      <c r="X20" s="16"/>
    </row>
    <row r="21" spans="1:24">
      <c r="R21" s="16"/>
      <c r="S21" s="33"/>
      <c r="T21" s="34"/>
      <c r="U21" s="33"/>
    </row>
    <row r="24" spans="1:24">
      <c r="U24" s="1" t="s">
        <v>47</v>
      </c>
      <c r="V24" s="1" t="s">
        <v>48</v>
      </c>
    </row>
    <row r="25" spans="1:24">
      <c r="O25" s="1" t="s">
        <v>4</v>
      </c>
      <c r="P25" s="1" t="s">
        <v>46</v>
      </c>
      <c r="Q25" s="1" t="s">
        <v>47</v>
      </c>
      <c r="R25" s="1" t="s">
        <v>48</v>
      </c>
      <c r="S25" s="1" t="s">
        <v>49</v>
      </c>
      <c r="U25" s="32">
        <v>10</v>
      </c>
      <c r="V25" s="1">
        <v>0.55100000000000005</v>
      </c>
    </row>
    <row r="26" spans="1:24">
      <c r="O26" s="1">
        <v>14</v>
      </c>
      <c r="P26" s="6">
        <f>$P$43*O26^2/40000</f>
        <v>1.5393804002589986E-2</v>
      </c>
      <c r="Q26" s="22">
        <f t="shared" ref="Q26:Q41" si="11">R5</f>
        <v>12.997070942024024</v>
      </c>
      <c r="R26" s="6">
        <f>TREND(V28,U28,Q26)</f>
        <v>0.53200000000000003</v>
      </c>
      <c r="S26" s="1">
        <f>P26*Q26*R26</f>
        <v>0.10643956095069453</v>
      </c>
      <c r="T26">
        <v>90</v>
      </c>
      <c r="U26" s="32">
        <f>U25+1</f>
        <v>11</v>
      </c>
      <c r="V26" s="1">
        <v>0.54200000000000004</v>
      </c>
      <c r="W26">
        <f>T26*P26</f>
        <v>1.3854423602330987</v>
      </c>
    </row>
    <row r="27" spans="1:24">
      <c r="O27" s="1">
        <f>O26+4</f>
        <v>18</v>
      </c>
      <c r="P27" s="6">
        <f t="shared" ref="P27:P41" si="12">$P$43*O27^2/40000</f>
        <v>2.5446900494077322E-2</v>
      </c>
      <c r="Q27" s="22">
        <f t="shared" si="11"/>
        <v>14.646778568015314</v>
      </c>
      <c r="R27" s="6">
        <f>TREND(V29:V30,U29:U30,Q27)</f>
        <v>0.52900000000000003</v>
      </c>
      <c r="S27" s="1">
        <f t="shared" ref="S27:S41" si="13">P27*Q27*R27</f>
        <v>0.19716629677612807</v>
      </c>
      <c r="T27">
        <v>292</v>
      </c>
      <c r="U27" s="32">
        <f t="shared" ref="U27:U40" si="14">U26+1</f>
        <v>12</v>
      </c>
      <c r="V27" s="1">
        <v>0.53900000000000003</v>
      </c>
      <c r="W27">
        <f t="shared" ref="W27:W35" si="15">T27*P27</f>
        <v>7.4304949442705777</v>
      </c>
    </row>
    <row r="28" spans="1:24">
      <c r="O28" s="1">
        <f t="shared" ref="O28:O41" si="16">O27+4</f>
        <v>22</v>
      </c>
      <c r="P28" s="6">
        <f t="shared" si="12"/>
        <v>3.8013271108436497E-2</v>
      </c>
      <c r="Q28" s="22">
        <f t="shared" si="11"/>
        <v>15.964044667225737</v>
      </c>
      <c r="R28" s="6">
        <f>TREND(V31,U31,Q28)</f>
        <v>0.52800000000000002</v>
      </c>
      <c r="S28" s="1">
        <f t="shared" si="13"/>
        <v>0.32041445458304935</v>
      </c>
      <c r="T28">
        <v>453</v>
      </c>
      <c r="U28" s="32">
        <f t="shared" si="14"/>
        <v>13</v>
      </c>
      <c r="V28" s="1">
        <v>0.53200000000000003</v>
      </c>
      <c r="W28">
        <f t="shared" si="15"/>
        <v>17.220011812121733</v>
      </c>
    </row>
    <row r="29" spans="1:24">
      <c r="O29" s="1">
        <f t="shared" si="16"/>
        <v>26</v>
      </c>
      <c r="P29" s="6">
        <f t="shared" si="12"/>
        <v>5.3092915845667506E-2</v>
      </c>
      <c r="Q29" s="22">
        <f t="shared" si="11"/>
        <v>17.06064066971939</v>
      </c>
      <c r="R29" s="6">
        <f>TREND(V32:V33,U32:U33,Q29)</f>
        <v>0.52642334258729584</v>
      </c>
      <c r="S29" s="1">
        <f t="shared" si="13"/>
        <v>0.47683382117809708</v>
      </c>
      <c r="T29">
        <v>393</v>
      </c>
      <c r="U29" s="32">
        <f t="shared" si="14"/>
        <v>14</v>
      </c>
      <c r="V29" s="1">
        <v>0.52900000000000003</v>
      </c>
      <c r="W29">
        <f t="shared" si="15"/>
        <v>20.865515927347328</v>
      </c>
    </row>
    <row r="30" spans="1:24">
      <c r="O30" s="1">
        <f t="shared" si="16"/>
        <v>30</v>
      </c>
      <c r="P30" s="6">
        <f t="shared" si="12"/>
        <v>7.0685834705770348E-2</v>
      </c>
      <c r="Q30" s="22">
        <f t="shared" si="11"/>
        <v>18</v>
      </c>
      <c r="R30" s="6">
        <f>TREND(V33,U33,Q30)</f>
        <v>0.502</v>
      </c>
      <c r="S30" s="1">
        <f t="shared" si="13"/>
        <v>0.63871720240134089</v>
      </c>
      <c r="T30">
        <v>205</v>
      </c>
      <c r="U30" s="32">
        <f t="shared" si="14"/>
        <v>15</v>
      </c>
      <c r="V30" s="1">
        <v>0.52900000000000003</v>
      </c>
      <c r="W30">
        <f t="shared" si="15"/>
        <v>14.490596114682921</v>
      </c>
    </row>
    <row r="31" spans="1:24">
      <c r="O31" s="1">
        <f t="shared" si="16"/>
        <v>34</v>
      </c>
      <c r="P31" s="6">
        <f t="shared" si="12"/>
        <v>9.0792027688745017E-2</v>
      </c>
      <c r="Q31" s="22">
        <f t="shared" si="11"/>
        <v>18.82161057300485</v>
      </c>
      <c r="R31" s="6">
        <f>TREND(V33:V34,U33:U34,Q31)</f>
        <v>0.502</v>
      </c>
      <c r="S31" s="1">
        <f t="shared" si="13"/>
        <v>0.85784379852209824</v>
      </c>
      <c r="T31">
        <v>60</v>
      </c>
      <c r="U31" s="32">
        <f t="shared" si="14"/>
        <v>16</v>
      </c>
      <c r="V31" s="1">
        <v>0.52800000000000002</v>
      </c>
      <c r="W31">
        <f t="shared" si="15"/>
        <v>5.4475216613247008</v>
      </c>
    </row>
    <row r="32" spans="1:24">
      <c r="O32" s="1">
        <f t="shared" si="16"/>
        <v>38</v>
      </c>
      <c r="P32" s="6">
        <f t="shared" si="12"/>
        <v>0.11341149479459152</v>
      </c>
      <c r="Q32" s="22">
        <f t="shared" si="11"/>
        <v>19.551730923444762</v>
      </c>
      <c r="R32" s="6">
        <f>TREND(V34:V35,U34:U35,Q32)</f>
        <v>0.502</v>
      </c>
      <c r="S32" s="1">
        <f t="shared" si="13"/>
        <v>1.1131302969844539</v>
      </c>
      <c r="T32">
        <v>18</v>
      </c>
      <c r="U32" s="32">
        <f t="shared" si="14"/>
        <v>17</v>
      </c>
      <c r="V32" s="1">
        <v>0.52800000000000002</v>
      </c>
      <c r="W32">
        <f t="shared" si="15"/>
        <v>2.0414069063026474</v>
      </c>
    </row>
    <row r="33" spans="15:23">
      <c r="O33" s="1">
        <f t="shared" si="16"/>
        <v>42</v>
      </c>
      <c r="P33" s="6">
        <f t="shared" si="12"/>
        <v>0.13854423602330987</v>
      </c>
      <c r="Q33" s="22">
        <f t="shared" si="11"/>
        <v>20.208710492610162</v>
      </c>
      <c r="R33" s="6">
        <f>TREND(V35:V36,U35:U36,Q33)</f>
        <v>0.5011651580295593</v>
      </c>
      <c r="S33" s="1">
        <f t="shared" si="13"/>
        <v>1.4031623879736672</v>
      </c>
      <c r="T33">
        <v>9</v>
      </c>
      <c r="U33" s="32">
        <f t="shared" si="14"/>
        <v>18</v>
      </c>
      <c r="V33" s="1">
        <v>0.502</v>
      </c>
      <c r="W33">
        <f t="shared" si="15"/>
        <v>1.2468981242097887</v>
      </c>
    </row>
    <row r="34" spans="15:23">
      <c r="O34" s="1">
        <f t="shared" si="16"/>
        <v>46</v>
      </c>
      <c r="P34" s="6">
        <f t="shared" si="12"/>
        <v>0.16619025137490004</v>
      </c>
      <c r="Q34" s="22">
        <f t="shared" si="11"/>
        <v>20.805878101658962</v>
      </c>
      <c r="R34" s="6">
        <f>TREND(V35:V36,U35:U36,Q34)</f>
        <v>0.49877648759336413</v>
      </c>
      <c r="S34" s="1">
        <f t="shared" si="13"/>
        <v>1.7246364753104919</v>
      </c>
      <c r="T34">
        <v>6</v>
      </c>
      <c r="U34" s="32">
        <f t="shared" si="14"/>
        <v>19</v>
      </c>
      <c r="V34" s="1">
        <v>0.502</v>
      </c>
      <c r="W34">
        <f t="shared" si="15"/>
        <v>0.99714150824940018</v>
      </c>
    </row>
    <row r="35" spans="15:23">
      <c r="O35" s="1">
        <f t="shared" si="16"/>
        <v>50</v>
      </c>
      <c r="P35" s="6">
        <f t="shared" si="12"/>
        <v>0.19634954084936207</v>
      </c>
      <c r="Q35" s="22">
        <f t="shared" si="11"/>
        <v>21.353221431984686</v>
      </c>
      <c r="R35" s="6">
        <f>TREND(V36:V37,U36:U37,Q35)</f>
        <v>0.498</v>
      </c>
      <c r="S35" s="1">
        <f t="shared" si="13"/>
        <v>2.0879622214648257</v>
      </c>
      <c r="T35">
        <v>2</v>
      </c>
      <c r="U35" s="32">
        <f t="shared" si="14"/>
        <v>20</v>
      </c>
      <c r="V35" s="1">
        <v>0.502</v>
      </c>
      <c r="W35">
        <f t="shared" si="15"/>
        <v>0.39269908169872414</v>
      </c>
    </row>
    <row r="36" spans="15:23">
      <c r="O36" s="1">
        <f t="shared" si="16"/>
        <v>54</v>
      </c>
      <c r="P36" s="6">
        <f t="shared" si="12"/>
        <v>0.22902210444669591</v>
      </c>
      <c r="Q36" s="22">
        <f t="shared" si="11"/>
        <v>21.858418118601445</v>
      </c>
      <c r="R36" s="6">
        <f>TREND(V36:V37,U36:U37,Q36)</f>
        <v>0.498</v>
      </c>
      <c r="S36" s="1">
        <f t="shared" si="13"/>
        <v>2.4930183368641496</v>
      </c>
      <c r="U36" s="32">
        <f>U35+1</f>
        <v>21</v>
      </c>
      <c r="V36" s="1">
        <v>0.498</v>
      </c>
      <c r="W36">
        <f>SUM(W26:W35)</f>
        <v>71.517728440440933</v>
      </c>
    </row>
    <row r="37" spans="15:23">
      <c r="O37" s="1">
        <f t="shared" si="16"/>
        <v>58</v>
      </c>
      <c r="P37" s="6">
        <f t="shared" si="12"/>
        <v>0.26420794216690158</v>
      </c>
      <c r="Q37" s="22">
        <f t="shared" si="11"/>
        <v>22.327497425480772</v>
      </c>
      <c r="R37" s="6">
        <f>TREND(V37:V38,U37:U38,Q37)</f>
        <v>0.498</v>
      </c>
      <c r="S37" s="1">
        <f t="shared" si="13"/>
        <v>2.9377528699644877</v>
      </c>
      <c r="U37" s="32">
        <f t="shared" si="14"/>
        <v>22</v>
      </c>
      <c r="V37" s="1">
        <v>0.498</v>
      </c>
    </row>
    <row r="38" spans="15:23">
      <c r="O38" s="1">
        <f t="shared" si="16"/>
        <v>62</v>
      </c>
      <c r="P38" s="6">
        <f t="shared" si="12"/>
        <v>0.30190705400997914</v>
      </c>
      <c r="Q38" s="22">
        <f t="shared" si="11"/>
        <v>22.765280762676692</v>
      </c>
      <c r="R38" s="6">
        <f>TREND(V37:V38,U37:U38,Q38)</f>
        <v>0.498</v>
      </c>
      <c r="S38" s="1">
        <f t="shared" si="13"/>
        <v>3.4227534266873461</v>
      </c>
      <c r="U38" s="32">
        <f t="shared" si="14"/>
        <v>23</v>
      </c>
      <c r="V38" s="1">
        <v>0.498</v>
      </c>
    </row>
    <row r="39" spans="15:23">
      <c r="O39" s="1">
        <f t="shared" si="16"/>
        <v>66</v>
      </c>
      <c r="P39" s="6">
        <f t="shared" si="12"/>
        <v>0.34211943997592847</v>
      </c>
      <c r="Q39" s="22">
        <f t="shared" si="11"/>
        <v>23.175684217811867</v>
      </c>
      <c r="R39" s="6">
        <f>TREND(V38:V39,U38:U39,Q39)</f>
        <v>0.49694589469312883</v>
      </c>
      <c r="S39" s="1">
        <f t="shared" si="13"/>
        <v>3.9402105035350972</v>
      </c>
      <c r="U39" s="32">
        <f>U38+1</f>
        <v>24</v>
      </c>
      <c r="V39" s="1">
        <v>0.49199999999999999</v>
      </c>
    </row>
    <row r="40" spans="15:23">
      <c r="O40" s="1">
        <f t="shared" si="16"/>
        <v>70</v>
      </c>
      <c r="P40" s="6">
        <f t="shared" si="12"/>
        <v>0.38484510006474965</v>
      </c>
      <c r="Q40" s="22">
        <f t="shared" si="11"/>
        <v>23.561931924594841</v>
      </c>
      <c r="R40" s="6">
        <f>TREND(V38:V39,U38:U39,Q40)</f>
        <v>0.49462840845243095</v>
      </c>
      <c r="S40" s="1">
        <f t="shared" si="13"/>
        <v>4.4851390759089229</v>
      </c>
      <c r="U40" s="32">
        <f t="shared" si="14"/>
        <v>25</v>
      </c>
      <c r="V40" s="1">
        <v>0.49199999999999999</v>
      </c>
    </row>
    <row r="41" spans="15:23">
      <c r="O41" s="1">
        <f t="shared" si="16"/>
        <v>74</v>
      </c>
      <c r="P41" s="6">
        <f t="shared" si="12"/>
        <v>0.43008403427644271</v>
      </c>
      <c r="Q41" s="22">
        <f t="shared" si="11"/>
        <v>23.926710054733967</v>
      </c>
      <c r="R41" s="6">
        <f>TREND(V38:V39,U38:U39,Q41)</f>
        <v>0.49243973967159621</v>
      </c>
      <c r="S41" s="1">
        <f t="shared" si="13"/>
        <v>5.0674491650789513</v>
      </c>
    </row>
    <row r="43" spans="15:23">
      <c r="O43" s="35" t="s">
        <v>50</v>
      </c>
      <c r="P43" s="1">
        <f>PI()</f>
        <v>3.1415926535897931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delcho-5</vt:lpstr>
      <vt:lpstr>delcho-6</vt:lpstr>
      <vt:lpstr>Delcho-7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</dc:creator>
  <cp:lastModifiedBy>Belkin</cp:lastModifiedBy>
  <dcterms:created xsi:type="dcterms:W3CDTF">2011-10-25T06:00:51Z</dcterms:created>
  <dcterms:modified xsi:type="dcterms:W3CDTF">2011-12-18T19:50:49Z</dcterms:modified>
</cp:coreProperties>
</file>