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5235" windowHeight="7260" activeTab="1"/>
  </bookViews>
  <sheets>
    <sheet name="Васко-5" sheetId="1" r:id="rId1"/>
    <sheet name="Васко-6" sheetId="2" r:id="rId2"/>
    <sheet name="Васко-7" sheetId="3" r:id="rId3"/>
  </sheets>
  <calcPr calcId="144525"/>
</workbook>
</file>

<file path=xl/calcChain.xml><?xml version="1.0" encoding="utf-8"?>
<calcChain xmlns="http://schemas.openxmlformats.org/spreadsheetml/2006/main">
  <c r="B37" i="2" l="1"/>
  <c r="B32" i="2" l="1"/>
  <c r="O26" i="2"/>
  <c r="Q26" i="2"/>
  <c r="S26" i="2"/>
  <c r="S27" i="2"/>
  <c r="R27" i="2"/>
  <c r="Q27" i="2"/>
  <c r="P27" i="2"/>
  <c r="B30" i="2"/>
  <c r="B28" i="2"/>
  <c r="G7" i="2"/>
  <c r="H18" i="2"/>
  <c r="G18" i="2"/>
  <c r="H17" i="2" l="1"/>
  <c r="H16" i="2"/>
  <c r="H15" i="2"/>
  <c r="H14" i="2"/>
  <c r="H13" i="2"/>
  <c r="H12" i="2"/>
  <c r="H11" i="2"/>
  <c r="H10" i="2"/>
  <c r="H9" i="2"/>
  <c r="H8" i="2"/>
  <c r="H7" i="2"/>
  <c r="H22" i="2" l="1"/>
  <c r="B27" i="2"/>
  <c r="G22" i="2"/>
  <c r="H17" i="1" l="1"/>
  <c r="H16" i="1"/>
  <c r="H15" i="1"/>
  <c r="H14" i="1"/>
  <c r="H13" i="1"/>
  <c r="H12" i="1"/>
  <c r="H11" i="1"/>
  <c r="H10" i="1"/>
  <c r="H9" i="1"/>
  <c r="H8" i="1"/>
  <c r="H7" i="1"/>
  <c r="H6" i="1"/>
  <c r="H5" i="1"/>
  <c r="M5" i="3"/>
  <c r="L33" i="2" l="1"/>
  <c r="C22" i="2"/>
  <c r="B29" i="2" s="1"/>
  <c r="O27" i="2" l="1"/>
  <c r="N27" i="2"/>
  <c r="M27" i="2"/>
  <c r="L27" i="2"/>
  <c r="K27" i="2"/>
  <c r="J27" i="2"/>
  <c r="I27" i="2"/>
  <c r="H27" i="2"/>
  <c r="G27" i="2"/>
  <c r="F27" i="2"/>
  <c r="R26" i="2"/>
  <c r="P26" i="2"/>
  <c r="N26" i="2"/>
  <c r="M26" i="2"/>
  <c r="L26" i="2"/>
  <c r="K26" i="2"/>
  <c r="J26" i="2"/>
  <c r="I26" i="2"/>
  <c r="H26" i="2"/>
  <c r="G26" i="2"/>
  <c r="F26" i="2"/>
  <c r="B26" i="2"/>
  <c r="E19" i="1"/>
  <c r="J5" i="1"/>
  <c r="I5" i="1" s="1"/>
  <c r="B18" i="1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A7" i="3"/>
  <c r="A8" i="3" s="1"/>
  <c r="A9" i="3" s="1"/>
  <c r="A10" i="3" s="1"/>
  <c r="A6" i="3"/>
  <c r="R4" i="3"/>
  <c r="S4" i="3" s="1"/>
  <c r="T4" i="3" s="1"/>
  <c r="U4" i="3" s="1"/>
  <c r="V4" i="3" s="1"/>
  <c r="W4" i="3" s="1"/>
  <c r="X4" i="3" s="1"/>
  <c r="Y4" i="3" s="1"/>
  <c r="Z4" i="3" s="1"/>
  <c r="AA4" i="3" s="1"/>
  <c r="B35" i="2" l="1"/>
  <c r="B33" i="2"/>
  <c r="W26" i="2"/>
  <c r="M5" i="1"/>
  <c r="P43" i="3"/>
  <c r="P25" i="3" s="1"/>
  <c r="L11" i="3"/>
  <c r="L12" i="3"/>
  <c r="L13" i="3"/>
  <c r="L15" i="3"/>
  <c r="L17" i="3"/>
  <c r="L18" i="3"/>
  <c r="L19" i="3"/>
  <c r="L10" i="3"/>
  <c r="L14" i="3"/>
  <c r="L16" i="3"/>
  <c r="L20" i="3"/>
  <c r="U26" i="3"/>
  <c r="U27" i="3" l="1"/>
  <c r="U28" i="3" s="1"/>
  <c r="W26" i="3"/>
  <c r="O26" i="3"/>
  <c r="P26" i="3" s="1"/>
  <c r="W27" i="3" s="1"/>
  <c r="U29" i="3" l="1"/>
  <c r="O27" i="3"/>
  <c r="P5" i="3"/>
  <c r="K6" i="3"/>
  <c r="L6" i="3"/>
  <c r="L7" i="3"/>
  <c r="L8" i="3"/>
  <c r="L9" i="3"/>
  <c r="L5" i="3"/>
  <c r="A11" i="3"/>
  <c r="A12" i="3" s="1"/>
  <c r="A13" i="3" s="1"/>
  <c r="A14" i="3" s="1"/>
  <c r="P6" i="3"/>
  <c r="F25" i="2"/>
  <c r="G25" i="2" s="1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M6" i="3" l="1"/>
  <c r="K7" i="3"/>
  <c r="U30" i="3"/>
  <c r="P27" i="3"/>
  <c r="W28" i="3" s="1"/>
  <c r="O28" i="3"/>
  <c r="P14" i="3"/>
  <c r="A15" i="3"/>
  <c r="P13" i="3"/>
  <c r="P11" i="3"/>
  <c r="P9" i="3"/>
  <c r="P7" i="3"/>
  <c r="P12" i="3"/>
  <c r="P10" i="3"/>
  <c r="P8" i="3"/>
  <c r="E7" i="2"/>
  <c r="E8" i="2" s="1"/>
  <c r="E9" i="2" s="1"/>
  <c r="E10" i="2" s="1"/>
  <c r="E11" i="2" s="1"/>
  <c r="E12" i="2" s="1"/>
  <c r="E13" i="2" s="1"/>
  <c r="E14" i="2" s="1"/>
  <c r="E15" i="2" s="1"/>
  <c r="E16" i="2" s="1"/>
  <c r="B34" i="2" s="1"/>
  <c r="B36" i="2" s="1"/>
  <c r="E6" i="2"/>
  <c r="B6" i="2"/>
  <c r="N6" i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B17" i="1"/>
  <c r="A6" i="1"/>
  <c r="B38" i="2" l="1"/>
  <c r="B39" i="2"/>
  <c r="A23" i="1"/>
  <c r="L5" i="1"/>
  <c r="B23" i="1"/>
  <c r="J6" i="1"/>
  <c r="I6" i="1" s="1"/>
  <c r="M7" i="3"/>
  <c r="K8" i="3"/>
  <c r="U31" i="3"/>
  <c r="O29" i="3"/>
  <c r="P28" i="3"/>
  <c r="W29" i="3" s="1"/>
  <c r="E38" i="2"/>
  <c r="B7" i="2"/>
  <c r="L13" i="1"/>
  <c r="L9" i="1"/>
  <c r="L15" i="1"/>
  <c r="L11" i="1"/>
  <c r="L7" i="1"/>
  <c r="L16" i="1"/>
  <c r="L14" i="1"/>
  <c r="L12" i="1"/>
  <c r="L10" i="1"/>
  <c r="L8" i="1"/>
  <c r="L6" i="1"/>
  <c r="A16" i="3"/>
  <c r="P15" i="3"/>
  <c r="A7" i="1"/>
  <c r="M6" i="1"/>
  <c r="A8" i="1" l="1"/>
  <c r="J7" i="1"/>
  <c r="I7" i="1" s="1"/>
  <c r="K9" i="3"/>
  <c r="M8" i="3"/>
  <c r="U32" i="3"/>
  <c r="O30" i="3"/>
  <c r="P29" i="3"/>
  <c r="W30" i="3" s="1"/>
  <c r="B8" i="2"/>
  <c r="M7" i="1"/>
  <c r="A17" i="3"/>
  <c r="P16" i="3"/>
  <c r="A9" i="1" l="1"/>
  <c r="J8" i="1"/>
  <c r="I8" i="1" s="1"/>
  <c r="U33" i="3"/>
  <c r="K10" i="3"/>
  <c r="M9" i="3"/>
  <c r="O31" i="3"/>
  <c r="P30" i="3"/>
  <c r="W31" i="3" s="1"/>
  <c r="B9" i="2"/>
  <c r="G8" i="2"/>
  <c r="A18" i="3"/>
  <c r="P17" i="3"/>
  <c r="N5" i="3" l="1"/>
  <c r="N9" i="3"/>
  <c r="N6" i="3"/>
  <c r="N7" i="3"/>
  <c r="U34" i="3"/>
  <c r="K11" i="3"/>
  <c r="M10" i="3"/>
  <c r="N10" i="3" s="1"/>
  <c r="N8" i="3"/>
  <c r="M8" i="1"/>
  <c r="A10" i="1"/>
  <c r="J9" i="1"/>
  <c r="I9" i="1" s="1"/>
  <c r="M9" i="1" s="1"/>
  <c r="O32" i="3"/>
  <c r="P31" i="3"/>
  <c r="B10" i="2"/>
  <c r="G9" i="2"/>
  <c r="A19" i="3"/>
  <c r="P18" i="3"/>
  <c r="A11" i="1" l="1"/>
  <c r="A24" i="1"/>
  <c r="B24" i="1" s="1"/>
  <c r="J10" i="1"/>
  <c r="I10" i="1" s="1"/>
  <c r="M10" i="1" s="1"/>
  <c r="Z10" i="3"/>
  <c r="W10" i="3"/>
  <c r="AA10" i="3"/>
  <c r="V10" i="3"/>
  <c r="Y10" i="3"/>
  <c r="Q10" i="3"/>
  <c r="X10" i="3"/>
  <c r="R10" i="3"/>
  <c r="S10" i="3"/>
  <c r="T10" i="3"/>
  <c r="Q30" i="3" s="1"/>
  <c r="U10" i="3"/>
  <c r="Z8" i="3"/>
  <c r="W8" i="3"/>
  <c r="AA8" i="3"/>
  <c r="V8" i="3"/>
  <c r="Y8" i="3"/>
  <c r="Q8" i="3"/>
  <c r="X8" i="3"/>
  <c r="R8" i="3"/>
  <c r="S8" i="3"/>
  <c r="T8" i="3"/>
  <c r="Q28" i="3" s="1"/>
  <c r="U8" i="3"/>
  <c r="K12" i="3"/>
  <c r="M11" i="3"/>
  <c r="N11" i="3" s="1"/>
  <c r="Q7" i="3"/>
  <c r="X7" i="3"/>
  <c r="AA7" i="3"/>
  <c r="W7" i="3"/>
  <c r="Z7" i="3"/>
  <c r="V7" i="3"/>
  <c r="Y7" i="3"/>
  <c r="R7" i="3"/>
  <c r="S7" i="3"/>
  <c r="T7" i="3"/>
  <c r="Q27" i="3" s="1"/>
  <c r="U7" i="3"/>
  <c r="Q9" i="3"/>
  <c r="X9" i="3"/>
  <c r="AA9" i="3"/>
  <c r="W9" i="3"/>
  <c r="U9" i="3"/>
  <c r="Z9" i="3"/>
  <c r="V9" i="3"/>
  <c r="Y9" i="3"/>
  <c r="R9" i="3"/>
  <c r="S9" i="3"/>
  <c r="T9" i="3"/>
  <c r="Q29" i="3" s="1"/>
  <c r="U35" i="3"/>
  <c r="Y6" i="3"/>
  <c r="Q6" i="3"/>
  <c r="X6" i="3"/>
  <c r="Z6" i="3"/>
  <c r="W6" i="3"/>
  <c r="AA6" i="3"/>
  <c r="V6" i="3"/>
  <c r="R6" i="3"/>
  <c r="S6" i="3"/>
  <c r="T6" i="3"/>
  <c r="Q26" i="3" s="1"/>
  <c r="U6" i="3"/>
  <c r="Q5" i="3"/>
  <c r="Z5" i="3"/>
  <c r="V5" i="3"/>
  <c r="R5" i="3"/>
  <c r="Y5" i="3"/>
  <c r="U5" i="3"/>
  <c r="X5" i="3"/>
  <c r="T5" i="3"/>
  <c r="Q25" i="3" s="1"/>
  <c r="AA5" i="3"/>
  <c r="W5" i="3"/>
  <c r="S5" i="3"/>
  <c r="W32" i="3"/>
  <c r="O33" i="3"/>
  <c r="P32" i="3"/>
  <c r="B11" i="2"/>
  <c r="G10" i="2"/>
  <c r="A20" i="3"/>
  <c r="P20" i="3" s="1"/>
  <c r="P19" i="3"/>
  <c r="R26" i="3" l="1"/>
  <c r="S26" i="3" s="1"/>
  <c r="U36" i="3"/>
  <c r="K13" i="3"/>
  <c r="M12" i="3"/>
  <c r="N12" i="3" s="1"/>
  <c r="R28" i="3"/>
  <c r="S28" i="3" s="1"/>
  <c r="R30" i="3"/>
  <c r="S30" i="3" s="1"/>
  <c r="A12" i="1"/>
  <c r="J11" i="1"/>
  <c r="I11" i="1" s="1"/>
  <c r="M11" i="1" s="1"/>
  <c r="R25" i="3"/>
  <c r="S25" i="3" s="1"/>
  <c r="R29" i="3"/>
  <c r="S29" i="3"/>
  <c r="R27" i="3"/>
  <c r="S27" i="3"/>
  <c r="Q11" i="3"/>
  <c r="X11" i="3"/>
  <c r="AA11" i="3"/>
  <c r="W11" i="3"/>
  <c r="Z11" i="3"/>
  <c r="V11" i="3"/>
  <c r="Y11" i="3"/>
  <c r="R11" i="3"/>
  <c r="S11" i="3"/>
  <c r="T11" i="3"/>
  <c r="Q31" i="3" s="1"/>
  <c r="U11" i="3"/>
  <c r="W33" i="3"/>
  <c r="O34" i="3"/>
  <c r="P33" i="3"/>
  <c r="B12" i="2"/>
  <c r="G11" i="2"/>
  <c r="A13" i="1" l="1"/>
  <c r="J12" i="1"/>
  <c r="I12" i="1" s="1"/>
  <c r="M12" i="1" s="1"/>
  <c r="Y12" i="3"/>
  <c r="Q12" i="3"/>
  <c r="X12" i="3"/>
  <c r="Z12" i="3"/>
  <c r="W12" i="3"/>
  <c r="AA12" i="3"/>
  <c r="V12" i="3"/>
  <c r="R12" i="3"/>
  <c r="S12" i="3"/>
  <c r="T12" i="3"/>
  <c r="Q32" i="3" s="1"/>
  <c r="U12" i="3"/>
  <c r="R31" i="3"/>
  <c r="S31" i="3" s="1"/>
  <c r="K14" i="3"/>
  <c r="M13" i="3"/>
  <c r="N13" i="3" s="1"/>
  <c r="U37" i="3"/>
  <c r="U38" i="3" s="1"/>
  <c r="U39" i="3" s="1"/>
  <c r="U40" i="3" s="1"/>
  <c r="W34" i="3"/>
  <c r="O35" i="3"/>
  <c r="P34" i="3"/>
  <c r="B13" i="2"/>
  <c r="G12" i="2"/>
  <c r="K15" i="3" l="1"/>
  <c r="M14" i="3"/>
  <c r="N14" i="3" s="1"/>
  <c r="Z13" i="3"/>
  <c r="V13" i="3"/>
  <c r="Y13" i="3"/>
  <c r="Q13" i="3"/>
  <c r="X13" i="3"/>
  <c r="AA13" i="3"/>
  <c r="W13" i="3"/>
  <c r="R13" i="3"/>
  <c r="S13" i="3"/>
  <c r="T13" i="3"/>
  <c r="Q33" i="3" s="1"/>
  <c r="U13" i="3"/>
  <c r="R32" i="3"/>
  <c r="S32" i="3" s="1"/>
  <c r="A14" i="1"/>
  <c r="J13" i="1"/>
  <c r="I13" i="1" s="1"/>
  <c r="M13" i="1" s="1"/>
  <c r="W35" i="3"/>
  <c r="W36" i="3" s="1"/>
  <c r="O36" i="3"/>
  <c r="P35" i="3"/>
  <c r="B14" i="2"/>
  <c r="G13" i="2"/>
  <c r="R33" i="3" l="1"/>
  <c r="S33" i="3" s="1"/>
  <c r="Z14" i="3"/>
  <c r="W14" i="3"/>
  <c r="AA14" i="3"/>
  <c r="V14" i="3"/>
  <c r="Y14" i="3"/>
  <c r="Q14" i="3"/>
  <c r="X14" i="3"/>
  <c r="R14" i="3"/>
  <c r="S14" i="3"/>
  <c r="T14" i="3"/>
  <c r="Q34" i="3" s="1"/>
  <c r="U14" i="3"/>
  <c r="A15" i="1"/>
  <c r="J14" i="1"/>
  <c r="I14" i="1" s="1"/>
  <c r="M14" i="1" s="1"/>
  <c r="K16" i="3"/>
  <c r="M15" i="3"/>
  <c r="N15" i="3" s="1"/>
  <c r="O37" i="3"/>
  <c r="P36" i="3"/>
  <c r="B15" i="2"/>
  <c r="G14" i="2"/>
  <c r="T15" i="3" l="1"/>
  <c r="Q35" i="3" s="1"/>
  <c r="Q15" i="3"/>
  <c r="X15" i="3"/>
  <c r="AA15" i="3"/>
  <c r="W15" i="3"/>
  <c r="Z15" i="3"/>
  <c r="V15" i="3"/>
  <c r="Y15" i="3"/>
  <c r="R15" i="3"/>
  <c r="S15" i="3"/>
  <c r="U15" i="3"/>
  <c r="A16" i="1"/>
  <c r="J15" i="1"/>
  <c r="I15" i="1" s="1"/>
  <c r="M15" i="1" s="1"/>
  <c r="M16" i="3"/>
  <c r="N16" i="3" s="1"/>
  <c r="K17" i="3"/>
  <c r="R34" i="3"/>
  <c r="S34" i="3" s="1"/>
  <c r="O38" i="3"/>
  <c r="P37" i="3"/>
  <c r="B16" i="2"/>
  <c r="G15" i="2"/>
  <c r="Y16" i="3" l="1"/>
  <c r="Q16" i="3"/>
  <c r="X16" i="3"/>
  <c r="Z16" i="3"/>
  <c r="W16" i="3"/>
  <c r="AA16" i="3"/>
  <c r="V16" i="3"/>
  <c r="R16" i="3"/>
  <c r="S16" i="3"/>
  <c r="T16" i="3"/>
  <c r="Q36" i="3" s="1"/>
  <c r="U16" i="3"/>
  <c r="R35" i="3"/>
  <c r="S35" i="3"/>
  <c r="M17" i="3"/>
  <c r="N17" i="3" s="1"/>
  <c r="K18" i="3"/>
  <c r="J16" i="1"/>
  <c r="I16" i="1" s="1"/>
  <c r="O39" i="3"/>
  <c r="P38" i="3"/>
  <c r="B17" i="2"/>
  <c r="G16" i="2"/>
  <c r="M16" i="1" l="1"/>
  <c r="M17" i="1" s="1"/>
  <c r="I17" i="1"/>
  <c r="B19" i="1" s="1"/>
  <c r="B20" i="1" s="1"/>
  <c r="K19" i="3"/>
  <c r="M18" i="3"/>
  <c r="N18" i="3" s="1"/>
  <c r="R36" i="3"/>
  <c r="S36" i="3"/>
  <c r="Z17" i="3"/>
  <c r="V17" i="3"/>
  <c r="Y17" i="3"/>
  <c r="Q17" i="3"/>
  <c r="X17" i="3"/>
  <c r="AA17" i="3"/>
  <c r="W17" i="3"/>
  <c r="R17" i="3"/>
  <c r="S17" i="3"/>
  <c r="T17" i="3"/>
  <c r="Q37" i="3" s="1"/>
  <c r="U17" i="3"/>
  <c r="O40" i="3"/>
  <c r="P40" i="3" s="1"/>
  <c r="P39" i="3"/>
  <c r="B18" i="2"/>
  <c r="B19" i="2" s="1"/>
  <c r="B20" i="2" s="1"/>
  <c r="G17" i="2"/>
  <c r="M19" i="3" l="1"/>
  <c r="N19" i="3" s="1"/>
  <c r="K20" i="3"/>
  <c r="M20" i="3" s="1"/>
  <c r="N20" i="3" s="1"/>
  <c r="D18" i="1"/>
  <c r="R37" i="3"/>
  <c r="S37" i="3" s="1"/>
  <c r="Z18" i="3"/>
  <c r="W18" i="3"/>
  <c r="AA18" i="3"/>
  <c r="V18" i="3"/>
  <c r="Y18" i="3"/>
  <c r="Q18" i="3"/>
  <c r="X18" i="3"/>
  <c r="R18" i="3"/>
  <c r="S18" i="3"/>
  <c r="T18" i="3"/>
  <c r="Q38" i="3" s="1"/>
  <c r="U18" i="3"/>
  <c r="K5" i="1"/>
  <c r="F18" i="1"/>
  <c r="K6" i="1"/>
  <c r="K7" i="1"/>
  <c r="O8" i="1" s="1"/>
  <c r="K8" i="1"/>
  <c r="K9" i="1"/>
  <c r="C39" i="1"/>
  <c r="K10" i="1"/>
  <c r="O12" i="1" s="1"/>
  <c r="K11" i="1"/>
  <c r="K12" i="1"/>
  <c r="O14" i="1" s="1"/>
  <c r="K13" i="1"/>
  <c r="K14" i="1"/>
  <c r="K15" i="1"/>
  <c r="K16" i="1"/>
  <c r="O17" i="1" l="1"/>
  <c r="O16" i="1"/>
  <c r="O11" i="1"/>
  <c r="O10" i="1"/>
  <c r="Z19" i="3"/>
  <c r="Q19" i="3"/>
  <c r="X19" i="3"/>
  <c r="AA19" i="3"/>
  <c r="W19" i="3"/>
  <c r="V19" i="3"/>
  <c r="Y19" i="3"/>
  <c r="R19" i="3"/>
  <c r="S19" i="3"/>
  <c r="T19" i="3"/>
  <c r="Q39" i="3" s="1"/>
  <c r="U19" i="3"/>
  <c r="O18" i="1"/>
  <c r="O15" i="1"/>
  <c r="O13" i="1"/>
  <c r="O9" i="1"/>
  <c r="O7" i="1"/>
  <c r="O6" i="1"/>
  <c r="F19" i="1"/>
  <c r="O5" i="1" s="1"/>
  <c r="R38" i="3"/>
  <c r="S38" i="3" s="1"/>
  <c r="Y20" i="3"/>
  <c r="Q20" i="3"/>
  <c r="X20" i="3"/>
  <c r="Z20" i="3"/>
  <c r="W20" i="3"/>
  <c r="AA20" i="3"/>
  <c r="V20" i="3"/>
  <c r="R20" i="3"/>
  <c r="S20" i="3"/>
  <c r="T20" i="3"/>
  <c r="Q40" i="3" s="1"/>
  <c r="U20" i="3"/>
  <c r="O19" i="1" l="1"/>
  <c r="P5" i="1"/>
  <c r="R40" i="3"/>
  <c r="S40" i="3" s="1"/>
  <c r="P7" i="1"/>
  <c r="P13" i="1"/>
  <c r="P18" i="1"/>
  <c r="R39" i="3"/>
  <c r="S39" i="3" s="1"/>
  <c r="P10" i="1"/>
  <c r="P16" i="1"/>
  <c r="P6" i="1"/>
  <c r="P9" i="1"/>
  <c r="P15" i="1"/>
  <c r="P11" i="1"/>
  <c r="P17" i="1"/>
  <c r="E39" i="2"/>
  <c r="Q5" i="1" l="1"/>
  <c r="Q6" i="1" s="1"/>
  <c r="Q7" i="1" s="1"/>
  <c r="P14" i="1"/>
  <c r="P8" i="1"/>
  <c r="P12" i="1"/>
  <c r="P19" i="1" s="1"/>
  <c r="Q8" i="1" l="1"/>
  <c r="Q9" i="1" s="1"/>
  <c r="Q10" i="1" s="1"/>
  <c r="Q11" i="1" s="1"/>
  <c r="Q12" i="1" s="1"/>
  <c r="Q13" i="1" s="1"/>
  <c r="Q14" i="1" s="1"/>
  <c r="Q15" i="1" s="1"/>
  <c r="Q16" i="1" s="1"/>
  <c r="Q17" i="1" s="1"/>
  <c r="Q18" i="1" s="1"/>
</calcChain>
</file>

<file path=xl/comments1.xml><?xml version="1.0" encoding="utf-8"?>
<comments xmlns="http://schemas.openxmlformats.org/spreadsheetml/2006/main">
  <authors>
    <author>Belkin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Belkin: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<sst xmlns="http://schemas.openxmlformats.org/spreadsheetml/2006/main" count="99" uniqueCount="82">
  <si>
    <t>Gi=ni*gi</t>
  </si>
  <si>
    <t>d1/3</t>
  </si>
  <si>
    <t>Hsr</t>
  </si>
  <si>
    <t>ЕСД</t>
  </si>
  <si>
    <t>tablica 1</t>
  </si>
  <si>
    <t>trend</t>
  </si>
  <si>
    <t>ordinata</t>
  </si>
  <si>
    <t>ДАСД</t>
  </si>
  <si>
    <t>ЕСД-закр.</t>
  </si>
  <si>
    <t>n'отчет.</t>
  </si>
  <si>
    <t>n' отчет. %</t>
  </si>
  <si>
    <t>Сума с нат.</t>
  </si>
  <si>
    <t>D1/3</t>
  </si>
  <si>
    <t>N бр.</t>
  </si>
  <si>
    <t>изм.ср.височ.</t>
  </si>
  <si>
    <t>–</t>
  </si>
  <si>
    <t>g 1/3</t>
  </si>
  <si>
    <t>h</t>
  </si>
  <si>
    <t>f1/3</t>
  </si>
  <si>
    <t>v</t>
  </si>
  <si>
    <t>P=</t>
  </si>
  <si>
    <t>ili</t>
  </si>
  <si>
    <t>H ср.ар.</t>
  </si>
  <si>
    <t>H изравн.</t>
  </si>
  <si>
    <t>Ri</t>
  </si>
  <si>
    <t>v1</t>
  </si>
  <si>
    <t>V</t>
  </si>
  <si>
    <t>Степени на дебелина [cm]</t>
  </si>
  <si>
    <t>Число на дърветата бр.</t>
  </si>
  <si>
    <t>Измерени височини</t>
  </si>
  <si>
    <t>H ср.</t>
  </si>
  <si>
    <t>abcisa</t>
  </si>
  <si>
    <r>
      <t>G</t>
    </r>
    <r>
      <rPr>
        <vertAlign val="subscript"/>
        <sz val="11"/>
        <color theme="1"/>
        <rFont val="Calibri"/>
        <family val="2"/>
        <charset val="204"/>
        <scheme val="minor"/>
      </rPr>
      <t>i</t>
    </r>
  </si>
  <si>
    <r>
      <t>g</t>
    </r>
    <r>
      <rPr>
        <vertAlign val="subscript"/>
        <sz val="11"/>
        <color theme="1"/>
        <rFont val="Calibri"/>
        <family val="2"/>
        <charset val="204"/>
        <scheme val="minor"/>
      </rPr>
      <t>i</t>
    </r>
  </si>
  <si>
    <t>D ср. по Вайзе</t>
  </si>
  <si>
    <r>
      <t>*40%д</t>
    </r>
    <r>
      <rPr>
        <sz val="11"/>
        <color theme="1"/>
        <rFont val="Calibri"/>
        <family val="2"/>
        <charset val="204"/>
      </rPr>
      <t>→т</t>
    </r>
  </si>
  <si>
    <r>
      <t>*60%т</t>
    </r>
    <r>
      <rPr>
        <sz val="11"/>
        <color theme="1"/>
        <rFont val="Calibri"/>
        <family val="2"/>
        <charset val="204"/>
      </rPr>
      <t>→</t>
    </r>
    <r>
      <rPr>
        <sz val="11"/>
        <color theme="1"/>
        <rFont val="Calibri"/>
        <family val="2"/>
      </rPr>
      <t>д</t>
    </r>
  </si>
  <si>
    <r>
      <t>(0.4)0.5</t>
    </r>
    <r>
      <rPr>
        <sz val="11"/>
        <color rgb="FFFF0000"/>
        <rFont val="Calibri"/>
        <family val="2"/>
        <charset val="204"/>
      </rPr>
      <t>÷</t>
    </r>
    <r>
      <rPr>
        <sz val="11"/>
        <color rgb="FFFF0000"/>
        <rFont val="Calibri"/>
        <family val="2"/>
        <scheme val="minor"/>
      </rPr>
      <t>1.7(1.8)</t>
    </r>
  </si>
  <si>
    <r>
      <t xml:space="preserve">H </t>
    </r>
    <r>
      <rPr>
        <b/>
        <vertAlign val="subscript"/>
        <sz val="11"/>
        <color theme="1"/>
        <rFont val="Calibri"/>
        <family val="2"/>
        <charset val="204"/>
        <scheme val="minor"/>
      </rPr>
      <t>ср.</t>
    </r>
    <r>
      <rPr>
        <b/>
        <sz val="11"/>
        <color theme="1"/>
        <rFont val="Calibri"/>
        <family val="2"/>
        <charset val="204"/>
        <scheme val="minor"/>
      </rPr>
      <t xml:space="preserve"> [m]=</t>
    </r>
  </si>
  <si>
    <r>
      <t>G</t>
    </r>
    <r>
      <rPr>
        <vertAlign val="subscript"/>
        <sz val="11"/>
        <color theme="1"/>
        <rFont val="Calibri"/>
        <family val="2"/>
        <charset val="204"/>
        <scheme val="minor"/>
      </rPr>
      <t>i</t>
    </r>
    <r>
      <rPr>
        <sz val="11"/>
        <color theme="1"/>
        <rFont val="Calibri"/>
        <family val="2"/>
        <scheme val="minor"/>
      </rPr>
      <t>*H</t>
    </r>
    <r>
      <rPr>
        <vertAlign val="subscript"/>
        <sz val="11"/>
        <color theme="1"/>
        <rFont val="Calibri"/>
        <family val="2"/>
        <charset val="204"/>
        <scheme val="minor"/>
      </rPr>
      <t>cp</t>
    </r>
    <r>
      <rPr>
        <sz val="11"/>
        <color theme="1"/>
        <rFont val="Calibri"/>
        <family val="2"/>
        <scheme val="minor"/>
      </rPr>
      <t xml:space="preserve"> [m]</t>
    </r>
  </si>
  <si>
    <r>
      <t>G</t>
    </r>
    <r>
      <rPr>
        <vertAlign val="subscript"/>
        <sz val="11"/>
        <color theme="1"/>
        <rFont val="Calibri"/>
        <family val="2"/>
        <charset val="204"/>
        <scheme val="minor"/>
      </rPr>
      <t>i</t>
    </r>
    <r>
      <rPr>
        <sz val="11"/>
        <color theme="1"/>
        <rFont val="Calibri"/>
        <family val="2"/>
        <scheme val="minor"/>
      </rPr>
      <t>*H</t>
    </r>
    <r>
      <rPr>
        <vertAlign val="subscript"/>
        <sz val="11"/>
        <color theme="1"/>
        <rFont val="Calibri"/>
        <family val="2"/>
        <charset val="204"/>
        <scheme val="minor"/>
      </rPr>
      <t>cp</t>
    </r>
    <r>
      <rPr>
        <sz val="11"/>
        <color theme="1"/>
        <rFont val="Calibri"/>
        <family val="2"/>
        <scheme val="minor"/>
      </rPr>
      <t xml:space="preserve"> </t>
    </r>
  </si>
  <si>
    <t>π =</t>
  </si>
  <si>
    <t>gsr. =</t>
  </si>
  <si>
    <t>dsr. =</t>
  </si>
  <si>
    <r>
      <t xml:space="preserve">Задание </t>
    </r>
    <r>
      <rPr>
        <b/>
        <i/>
        <u/>
        <sz val="11"/>
        <color theme="1"/>
        <rFont val="Calibri"/>
        <family val="2"/>
        <charset val="204"/>
      </rPr>
      <t>№130</t>
    </r>
  </si>
  <si>
    <t>N,бр.</t>
  </si>
  <si>
    <t>H,[m]</t>
  </si>
  <si>
    <t>D,[cm]</t>
  </si>
  <si>
    <t>Измеррена средна височина[m]</t>
  </si>
  <si>
    <t>gi,[m]</t>
  </si>
  <si>
    <t>G,[m]</t>
  </si>
  <si>
    <r>
      <t xml:space="preserve">d </t>
    </r>
    <r>
      <rPr>
        <b/>
        <vertAlign val="subscript"/>
        <sz val="11"/>
        <color theme="1"/>
        <rFont val="Calibri"/>
        <family val="2"/>
        <charset val="204"/>
        <scheme val="minor"/>
      </rPr>
      <t>1.3</t>
    </r>
    <r>
      <rPr>
        <b/>
        <sz val="11"/>
        <color theme="1"/>
        <rFont val="Calibri"/>
        <family val="2"/>
        <charset val="204"/>
        <scheme val="minor"/>
      </rPr>
      <t xml:space="preserve"> [m]</t>
    </r>
  </si>
  <si>
    <t>∑=</t>
  </si>
  <si>
    <r>
      <t xml:space="preserve">Задание </t>
    </r>
    <r>
      <rPr>
        <sz val="11"/>
        <color theme="1"/>
        <rFont val="Calibri"/>
        <family val="2"/>
        <charset val="204"/>
      </rPr>
      <t xml:space="preserve">№ </t>
    </r>
    <r>
      <rPr>
        <b/>
        <i/>
        <u/>
        <sz val="11"/>
        <color rgb="FFFF0000"/>
        <rFont val="Calibri"/>
        <family val="2"/>
        <charset val="204"/>
      </rPr>
      <t>14</t>
    </r>
  </si>
  <si>
    <t>H=</t>
  </si>
  <si>
    <r>
      <t>D'</t>
    </r>
    <r>
      <rPr>
        <vertAlign val="subscript"/>
        <sz val="11"/>
        <color theme="1"/>
        <rFont val="Calibri"/>
        <family val="2"/>
        <charset val="204"/>
        <scheme val="minor"/>
      </rPr>
      <t>1.3</t>
    </r>
    <r>
      <rPr>
        <sz val="11"/>
        <color theme="1"/>
        <rFont val="Calibri"/>
        <family val="2"/>
        <scheme val="minor"/>
      </rPr>
      <t>=</t>
    </r>
  </si>
  <si>
    <r>
      <rPr>
        <sz val="11"/>
        <color theme="1"/>
        <rFont val="Calibri"/>
        <family val="2"/>
        <charset val="204"/>
      </rPr>
      <t>π</t>
    </r>
    <r>
      <rPr>
        <sz val="11"/>
        <color theme="1"/>
        <rFont val="Calibri"/>
        <family val="2"/>
      </rPr>
      <t>=</t>
    </r>
  </si>
  <si>
    <t>[cm]</t>
  </si>
  <si>
    <t>[m]</t>
  </si>
  <si>
    <r>
      <t>d</t>
    </r>
    <r>
      <rPr>
        <vertAlign val="subscript"/>
        <sz val="11"/>
        <color theme="1"/>
        <rFont val="Calibri"/>
        <family val="2"/>
        <charset val="204"/>
        <scheme val="minor"/>
      </rPr>
      <t>ср.</t>
    </r>
    <r>
      <rPr>
        <sz val="11"/>
        <color theme="1"/>
        <rFont val="Calibri"/>
        <family val="2"/>
        <scheme val="minor"/>
      </rPr>
      <t>=</t>
    </r>
  </si>
  <si>
    <r>
      <t>g</t>
    </r>
    <r>
      <rPr>
        <vertAlign val="subscript"/>
        <sz val="11"/>
        <color theme="1"/>
        <rFont val="Calibri"/>
        <family val="2"/>
        <charset val="204"/>
        <scheme val="minor"/>
      </rPr>
      <t>ср.</t>
    </r>
    <r>
      <rPr>
        <sz val="11"/>
        <color theme="1"/>
        <rFont val="Calibri"/>
        <family val="2"/>
        <scheme val="minor"/>
      </rPr>
      <t>=</t>
    </r>
  </si>
  <si>
    <r>
      <t>H</t>
    </r>
    <r>
      <rPr>
        <vertAlign val="subscript"/>
        <sz val="11"/>
        <color theme="1"/>
        <rFont val="Calibri"/>
        <family val="2"/>
        <charset val="204"/>
        <scheme val="minor"/>
      </rPr>
      <t>ср.</t>
    </r>
    <r>
      <rPr>
        <sz val="11"/>
        <color theme="1"/>
        <rFont val="Calibri"/>
        <family val="2"/>
        <scheme val="minor"/>
      </rPr>
      <t>=</t>
    </r>
  </si>
  <si>
    <r>
      <t>l</t>
    </r>
    <r>
      <rPr>
        <vertAlign val="subscript"/>
        <sz val="11"/>
        <color theme="1"/>
        <rFont val="Calibri"/>
        <family val="2"/>
        <charset val="204"/>
        <scheme val="minor"/>
      </rPr>
      <t>сек.</t>
    </r>
    <r>
      <rPr>
        <sz val="11"/>
        <color theme="1"/>
        <rFont val="Calibri"/>
        <family val="2"/>
        <scheme val="minor"/>
      </rPr>
      <t xml:space="preserve"> =</t>
    </r>
  </si>
  <si>
    <r>
      <t xml:space="preserve">l </t>
    </r>
    <r>
      <rPr>
        <vertAlign val="subscript"/>
        <sz val="11"/>
        <color theme="1"/>
        <rFont val="Calibri"/>
        <family val="2"/>
        <charset val="204"/>
        <scheme val="minor"/>
      </rPr>
      <t>кр.сек.</t>
    </r>
    <r>
      <rPr>
        <sz val="11"/>
        <color theme="1"/>
        <rFont val="Calibri"/>
        <family val="2"/>
        <scheme val="minor"/>
      </rPr>
      <t xml:space="preserve"> =</t>
    </r>
  </si>
  <si>
    <r>
      <t xml:space="preserve">d </t>
    </r>
    <r>
      <rPr>
        <vertAlign val="subscript"/>
        <sz val="11"/>
        <color theme="1"/>
        <rFont val="Calibri"/>
        <family val="2"/>
        <charset val="204"/>
        <scheme val="minor"/>
      </rPr>
      <t>вр.</t>
    </r>
    <r>
      <rPr>
        <sz val="11"/>
        <color theme="1"/>
        <rFont val="Calibri"/>
        <family val="2"/>
        <scheme val="minor"/>
      </rPr>
      <t>=</t>
    </r>
  </si>
  <si>
    <r>
      <t xml:space="preserve">l </t>
    </r>
    <r>
      <rPr>
        <vertAlign val="subscript"/>
        <sz val="11"/>
        <color theme="1"/>
        <rFont val="Calibri"/>
        <family val="2"/>
        <charset val="204"/>
        <scheme val="minor"/>
      </rPr>
      <t>вр.</t>
    </r>
    <r>
      <rPr>
        <sz val="11"/>
        <color theme="1"/>
        <rFont val="Calibri"/>
        <family val="2"/>
        <scheme val="minor"/>
      </rPr>
      <t xml:space="preserve"> =</t>
    </r>
  </si>
  <si>
    <r>
      <t xml:space="preserve">g </t>
    </r>
    <r>
      <rPr>
        <vertAlign val="subscript"/>
        <sz val="11"/>
        <color theme="1"/>
        <rFont val="Calibri"/>
        <family val="2"/>
        <scheme val="minor"/>
      </rPr>
      <t>осн.вр.</t>
    </r>
    <r>
      <rPr>
        <sz val="11"/>
        <color theme="1"/>
        <rFont val="Calibri"/>
        <family val="2"/>
        <scheme val="minor"/>
      </rPr>
      <t>=</t>
    </r>
  </si>
  <si>
    <r>
      <t xml:space="preserve">V </t>
    </r>
    <r>
      <rPr>
        <vertAlign val="subscript"/>
        <sz val="11"/>
        <color theme="1"/>
        <rFont val="Calibri"/>
        <family val="2"/>
        <charset val="204"/>
        <scheme val="minor"/>
      </rPr>
      <t>вр.</t>
    </r>
    <r>
      <rPr>
        <sz val="11"/>
        <color theme="1"/>
        <rFont val="Calibri"/>
        <family val="2"/>
        <scheme val="minor"/>
      </rPr>
      <t xml:space="preserve"> =</t>
    </r>
  </si>
  <si>
    <t>v  =</t>
  </si>
  <si>
    <r>
      <t xml:space="preserve">V' </t>
    </r>
    <r>
      <rPr>
        <vertAlign val="subscript"/>
        <sz val="11"/>
        <color theme="1"/>
        <rFont val="Calibri"/>
        <family val="2"/>
        <charset val="204"/>
        <scheme val="minor"/>
      </rPr>
      <t>Хубер</t>
    </r>
    <r>
      <rPr>
        <sz val="11"/>
        <color theme="1"/>
        <rFont val="Calibri"/>
        <family val="2"/>
        <scheme val="minor"/>
      </rPr>
      <t xml:space="preserve"> =</t>
    </r>
  </si>
  <si>
    <r>
      <t>Vст.=</t>
    </r>
    <r>
      <rPr>
        <vertAlign val="subscript"/>
        <sz val="11"/>
        <color theme="1"/>
        <rFont val="Calibri"/>
        <family val="2"/>
        <charset val="204"/>
        <scheme val="minor"/>
      </rPr>
      <t>V'*G/g</t>
    </r>
  </si>
  <si>
    <r>
      <t>[m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scheme val="minor"/>
      </rPr>
      <t>]</t>
    </r>
  </si>
  <si>
    <r>
      <t>[m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</si>
  <si>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[cm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</si>
  <si>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d</t>
    </r>
    <r>
      <rPr>
        <vertAlign val="subscript"/>
        <sz val="11"/>
        <color theme="1"/>
        <rFont val="Calibri"/>
        <family val="2"/>
        <charset val="204"/>
        <scheme val="minor"/>
      </rPr>
      <t>1,3</t>
    </r>
    <r>
      <rPr>
        <sz val="11"/>
        <color theme="1"/>
        <rFont val="Calibri"/>
        <family val="2"/>
        <scheme val="minor"/>
      </rPr>
      <t xml:space="preserve"> [cm]</t>
    </r>
  </si>
  <si>
    <r>
      <t xml:space="preserve">Задание </t>
    </r>
    <r>
      <rPr>
        <sz val="11"/>
        <color theme="1"/>
        <rFont val="Calibri"/>
        <family val="2"/>
        <charset val="204"/>
      </rPr>
      <t>№</t>
    </r>
    <r>
      <rPr>
        <sz val="11"/>
        <color theme="1"/>
        <rFont val="Calibri"/>
        <family val="2"/>
      </rPr>
      <t>2</t>
    </r>
  </si>
  <si>
    <t>Таблица 1</t>
  </si>
  <si>
    <t>Таблица за разпределение на височините и опед. на средна височина</t>
  </si>
  <si>
    <t>Таблица 2</t>
  </si>
  <si>
    <t>Таблица за иравн. на височините</t>
  </si>
  <si>
    <r>
      <t>d</t>
    </r>
    <r>
      <rPr>
        <vertAlign val="subscript"/>
        <sz val="11"/>
        <color rgb="FF000000"/>
        <rFont val="Calibri"/>
        <family val="2"/>
        <charset val="204"/>
        <scheme val="minor"/>
      </rPr>
      <t xml:space="preserve">1,3 </t>
    </r>
    <r>
      <rPr>
        <sz val="11"/>
        <color rgb="FF000000"/>
        <rFont val="Calibri"/>
        <family val="2"/>
        <charset val="204"/>
        <scheme val="minor"/>
      </rPr>
      <t>[cm]</t>
    </r>
  </si>
  <si>
    <t>g'1,3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</si>
</sst>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"/>
    <numFmt numFmtId="166" formatCode="0.000"/>
    <numFmt numFmtId="167" formatCode="0.000000"/>
    <numFmt numFmtId="168" formatCode="0.0000000"/>
    <numFmt numFmtId="169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charset val="204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b/>
      <vertAlign val="subscript"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i/>
      <u/>
      <sz val="11"/>
      <color theme="1"/>
      <name val="Calibri"/>
      <family val="2"/>
      <charset val="204"/>
    </font>
    <font>
      <b/>
      <i/>
      <u/>
      <sz val="11"/>
      <color rgb="FFFF0000"/>
      <name val="Calibri"/>
      <family val="2"/>
      <charset val="204"/>
    </font>
    <font>
      <vertAlign val="superscript"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vertAlign val="subscript"/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9">
    <xf numFmtId="0" fontId="0" fillId="0" borderId="0" xfId="0"/>
    <xf numFmtId="0" fontId="0" fillId="0" borderId="1" xfId="0" applyBorder="1"/>
    <xf numFmtId="2" fontId="2" fillId="0" borderId="0" xfId="0" applyNumberFormat="1" applyFont="1"/>
    <xf numFmtId="0" fontId="0" fillId="2" borderId="1" xfId="0" applyFill="1" applyBorder="1"/>
    <xf numFmtId="9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0" fontId="0" fillId="0" borderId="0" xfId="0" applyBorder="1"/>
    <xf numFmtId="0" fontId="0" fillId="0" borderId="2" xfId="0" applyFill="1" applyBorder="1"/>
    <xf numFmtId="0" fontId="0" fillId="0" borderId="3" xfId="0" applyFill="1" applyBorder="1"/>
    <xf numFmtId="165" fontId="0" fillId="0" borderId="0" xfId="0" applyNumberFormat="1"/>
    <xf numFmtId="165" fontId="0" fillId="0" borderId="1" xfId="0" applyNumberFormat="1" applyBorder="1"/>
    <xf numFmtId="1" fontId="0" fillId="0" borderId="0" xfId="0" applyNumberFormat="1"/>
    <xf numFmtId="1" fontId="0" fillId="0" borderId="0" xfId="1" applyNumberFormat="1" applyFont="1"/>
    <xf numFmtId="166" fontId="0" fillId="0" borderId="0" xfId="0" applyNumberFormat="1"/>
    <xf numFmtId="0" fontId="0" fillId="0" borderId="1" xfId="0" applyBorder="1" applyAlignment="1">
      <alignment horizontal="center"/>
    </xf>
    <xf numFmtId="165" fontId="0" fillId="0" borderId="0" xfId="0" applyNumberFormat="1" applyBorder="1"/>
    <xf numFmtId="165" fontId="0" fillId="0" borderId="0" xfId="0" applyNumberFormat="1" applyFill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1" xfId="0" applyNumberFormat="1" applyBorder="1"/>
    <xf numFmtId="168" fontId="0" fillId="0" borderId="1" xfId="0" applyNumberFormat="1" applyBorder="1"/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/>
    <xf numFmtId="164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9" fontId="0" fillId="3" borderId="8" xfId="0" applyNumberForma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5" xfId="1" applyNumberFormat="1" applyFon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/>
    <xf numFmtId="1" fontId="0" fillId="0" borderId="25" xfId="0" applyNumberFormat="1" applyBorder="1" applyAlignment="1">
      <alignment horizontal="center" vertical="center"/>
    </xf>
    <xf numFmtId="1" fontId="0" fillId="3" borderId="25" xfId="1" applyNumberFormat="1" applyFont="1" applyFill="1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1" fontId="0" fillId="3" borderId="5" xfId="1" applyNumberFormat="1" applyFon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/>
    </xf>
    <xf numFmtId="165" fontId="0" fillId="3" borderId="18" xfId="0" applyNumberFormat="1" applyFill="1" applyBorder="1" applyAlignment="1">
      <alignment horizontal="center" vertical="center"/>
    </xf>
    <xf numFmtId="165" fontId="10" fillId="3" borderId="22" xfId="0" applyNumberFormat="1" applyFont="1" applyFill="1" applyBorder="1" applyAlignment="1">
      <alignment horizontal="center" vertical="center"/>
    </xf>
    <xf numFmtId="165" fontId="14" fillId="0" borderId="23" xfId="0" applyNumberFormat="1" applyFont="1" applyBorder="1" applyAlignment="1">
      <alignment horizontal="center" vertical="center"/>
    </xf>
    <xf numFmtId="164" fontId="0" fillId="2" borderId="1" xfId="0" applyNumberFormat="1" applyFill="1" applyBorder="1"/>
    <xf numFmtId="165" fontId="0" fillId="2" borderId="25" xfId="0" applyNumberFormat="1" applyFill="1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9" fontId="0" fillId="3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25" xfId="0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 shrinkToFit="1"/>
    </xf>
    <xf numFmtId="0" fontId="0" fillId="0" borderId="0" xfId="0" applyFill="1" applyBorder="1"/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9" fillId="0" borderId="33" xfId="0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4" fontId="10" fillId="0" borderId="34" xfId="0" applyNumberFormat="1" applyFont="1" applyBorder="1" applyAlignment="1">
      <alignment horizontal="center" vertical="center"/>
    </xf>
    <xf numFmtId="164" fontId="10" fillId="0" borderId="35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8" fontId="0" fillId="0" borderId="0" xfId="0" applyNumberFormat="1"/>
    <xf numFmtId="0" fontId="0" fillId="0" borderId="2" xfId="0" applyFill="1" applyBorder="1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readingOrder="1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 shrinkToFit="1"/>
    </xf>
    <xf numFmtId="0" fontId="13" fillId="3" borderId="14" xfId="0" applyFont="1" applyFill="1" applyBorder="1" applyAlignment="1">
      <alignment horizontal="center" vertical="center" wrapText="1" shrinkToFit="1"/>
    </xf>
    <xf numFmtId="0" fontId="13" fillId="3" borderId="15" xfId="0" applyFont="1" applyFill="1" applyBorder="1" applyAlignment="1">
      <alignment horizontal="center" vertical="center" wrapText="1" shrinkToFit="1"/>
    </xf>
    <xf numFmtId="0" fontId="12" fillId="3" borderId="16" xfId="0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 shrinkToFit="1"/>
    </xf>
    <xf numFmtId="0" fontId="12" fillId="3" borderId="17" xfId="0" applyFont="1" applyFill="1" applyBorder="1" applyAlignment="1">
      <alignment horizontal="center" vertical="center" wrapText="1" shrinkToFit="1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 shrinkToFit="1"/>
    </xf>
    <xf numFmtId="0" fontId="14" fillId="0" borderId="32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164" fontId="10" fillId="0" borderId="36" xfId="0" applyNumberFormat="1" applyFont="1" applyFill="1" applyBorder="1" applyAlignment="1">
      <alignment horizontal="center" vertical="center"/>
    </xf>
    <xf numFmtId="164" fontId="10" fillId="0" borderId="37" xfId="0" applyNumberFormat="1" applyFont="1" applyFill="1" applyBorder="1" applyAlignment="1">
      <alignment horizontal="center" vertical="center"/>
    </xf>
    <xf numFmtId="164" fontId="10" fillId="0" borderId="3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Border="1" applyAlignment="1">
      <alignment horizontal="center" vertical="center"/>
    </xf>
  </cellXfs>
  <cellStyles count="2">
    <cellStyle name="Нормален" xfId="0" builtinId="0"/>
    <cellStyle name="Процент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g-BG" sz="1800" b="1" i="0" baseline="0"/>
              <a:t>Вариационна крива за  разпределение </a:t>
            </a:r>
            <a:r>
              <a:rPr lang="en-US" sz="1800" b="1" i="0" baseline="0"/>
              <a:t> </a:t>
            </a:r>
            <a:r>
              <a:rPr lang="bg-BG" sz="1800" b="1" i="0" baseline="0"/>
              <a:t>броя на дърветата по ЕСД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11421751229860636"/>
          <c:y val="1.6227091178820041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'Васко-5'!$A$5:$A$16</c:f>
              <c:numCache>
                <c:formatCode>General</c:formatCode>
                <c:ptCount val="12"/>
                <c:pt idx="0">
                  <c:v>14</c:v>
                </c:pt>
                <c:pt idx="1">
                  <c:v>18</c:v>
                </c:pt>
                <c:pt idx="2">
                  <c:v>22</c:v>
                </c:pt>
                <c:pt idx="3">
                  <c:v>26</c:v>
                </c:pt>
                <c:pt idx="4">
                  <c:v>30</c:v>
                </c:pt>
                <c:pt idx="5">
                  <c:v>34</c:v>
                </c:pt>
                <c:pt idx="6">
                  <c:v>38</c:v>
                </c:pt>
                <c:pt idx="7">
                  <c:v>42</c:v>
                </c:pt>
                <c:pt idx="8">
                  <c:v>46</c:v>
                </c:pt>
                <c:pt idx="9">
                  <c:v>50</c:v>
                </c:pt>
                <c:pt idx="10">
                  <c:v>54</c:v>
                </c:pt>
                <c:pt idx="11">
                  <c:v>58</c:v>
                </c:pt>
              </c:numCache>
            </c:numRef>
          </c:xVal>
          <c:yVal>
            <c:numRef>
              <c:f>'Васко-5'!$B$5:$B$16</c:f>
              <c:numCache>
                <c:formatCode>General</c:formatCode>
                <c:ptCount val="12"/>
                <c:pt idx="0">
                  <c:v>20</c:v>
                </c:pt>
                <c:pt idx="1">
                  <c:v>26</c:v>
                </c:pt>
                <c:pt idx="2">
                  <c:v>53</c:v>
                </c:pt>
                <c:pt idx="3">
                  <c:v>76</c:v>
                </c:pt>
                <c:pt idx="4">
                  <c:v>69</c:v>
                </c:pt>
                <c:pt idx="5">
                  <c:v>49</c:v>
                </c:pt>
                <c:pt idx="6">
                  <c:v>33</c:v>
                </c:pt>
                <c:pt idx="7">
                  <c:v>20</c:v>
                </c:pt>
                <c:pt idx="8">
                  <c:v>18</c:v>
                </c:pt>
                <c:pt idx="9">
                  <c:v>14</c:v>
                </c:pt>
                <c:pt idx="10">
                  <c:v>16</c:v>
                </c:pt>
                <c:pt idx="11">
                  <c:v>13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62016"/>
        <c:axId val="65062592"/>
      </c:scatterChart>
      <c:valAx>
        <c:axId val="6506201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g-BG"/>
                  <a:t>степен на дебелина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65062592"/>
        <c:crosses val="autoZero"/>
        <c:crossBetween val="midCat"/>
        <c:majorUnit val="14"/>
      </c:valAx>
      <c:valAx>
        <c:axId val="65062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bg-BG"/>
                  <a:t>брой дървета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50620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g-BG"/>
              <a:t>Крива на височините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og"/>
            <c:dispRSqr val="0"/>
            <c:dispEq val="1"/>
            <c:trendlineLbl>
              <c:numFmt formatCode="General" sourceLinked="0"/>
            </c:trendlineLbl>
          </c:trendline>
          <c:xVal>
            <c:numRef>
              <c:f>'Васко-5'!$A$5:$A$16</c:f>
              <c:numCache>
                <c:formatCode>General</c:formatCode>
                <c:ptCount val="12"/>
                <c:pt idx="0">
                  <c:v>14</c:v>
                </c:pt>
                <c:pt idx="1">
                  <c:v>18</c:v>
                </c:pt>
                <c:pt idx="2">
                  <c:v>22</c:v>
                </c:pt>
                <c:pt idx="3">
                  <c:v>26</c:v>
                </c:pt>
                <c:pt idx="4">
                  <c:v>30</c:v>
                </c:pt>
                <c:pt idx="5">
                  <c:v>34</c:v>
                </c:pt>
                <c:pt idx="6">
                  <c:v>38</c:v>
                </c:pt>
                <c:pt idx="7">
                  <c:v>42</c:v>
                </c:pt>
                <c:pt idx="8">
                  <c:v>46</c:v>
                </c:pt>
                <c:pt idx="9">
                  <c:v>50</c:v>
                </c:pt>
                <c:pt idx="10">
                  <c:v>54</c:v>
                </c:pt>
                <c:pt idx="11">
                  <c:v>58</c:v>
                </c:pt>
              </c:numCache>
            </c:numRef>
          </c:xVal>
          <c:yVal>
            <c:numRef>
              <c:f>'Васко-5'!$H$5:$H$16</c:f>
              <c:numCache>
                <c:formatCode>0.0</c:formatCode>
                <c:ptCount val="12"/>
                <c:pt idx="0">
                  <c:v>13.45</c:v>
                </c:pt>
                <c:pt idx="1">
                  <c:v>15.780000000000001</c:v>
                </c:pt>
                <c:pt idx="2">
                  <c:v>18.600000000000001</c:v>
                </c:pt>
                <c:pt idx="3">
                  <c:v>20.86</c:v>
                </c:pt>
                <c:pt idx="4">
                  <c:v>22.46</c:v>
                </c:pt>
                <c:pt idx="5">
                  <c:v>24</c:v>
                </c:pt>
                <c:pt idx="6">
                  <c:v>25.46</c:v>
                </c:pt>
                <c:pt idx="7">
                  <c:v>26.266666666666666</c:v>
                </c:pt>
                <c:pt idx="8">
                  <c:v>27.099999999999998</c:v>
                </c:pt>
                <c:pt idx="9">
                  <c:v>27.7</c:v>
                </c:pt>
                <c:pt idx="10">
                  <c:v>28.066666666666666</c:v>
                </c:pt>
                <c:pt idx="11">
                  <c:v>28.399999999999995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63744"/>
        <c:axId val="65064320"/>
      </c:scatterChart>
      <c:valAx>
        <c:axId val="65063744"/>
        <c:scaling>
          <c:orientation val="minMax"/>
          <c:max val="58"/>
          <c:min val="14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g-BG"/>
                  <a:t>степен на дебелина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5064320"/>
        <c:crosses val="autoZero"/>
        <c:crossBetween val="midCat"/>
        <c:majorUnit val="4"/>
        <c:minorUnit val="2"/>
      </c:valAx>
      <c:valAx>
        <c:axId val="65064320"/>
        <c:scaling>
          <c:orientation val="minMax"/>
          <c:max val="30"/>
          <c:min val="1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bg-BG"/>
                  <a:t>ср.височина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5063744"/>
        <c:crosses val="autoZero"/>
        <c:crossBetween val="midCat"/>
        <c:majorUnit val="2"/>
        <c:min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g-BG"/>
              <a:t>Вариационна крива за процентно</a:t>
            </a:r>
            <a:r>
              <a:rPr lang="bg-BG" baseline="0"/>
              <a:t> сумарно разпределение на дърветата по ЕСД</a:t>
            </a:r>
            <a:endParaRPr lang="bg-BG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'Васко-5'!$N$5:$N$18</c:f>
              <c:numCache>
                <c:formatCode>General</c:formatCode>
                <c:ptCount val="14"/>
                <c:pt idx="0">
                  <c:v>0.4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0.79999999999999993</c:v>
                </c:pt>
                <c:pt idx="5">
                  <c:v>0.89999999999999991</c:v>
                </c:pt>
                <c:pt idx="6">
                  <c:v>0.99999999999999989</c:v>
                </c:pt>
                <c:pt idx="7">
                  <c:v>1.0999999999999999</c:v>
                </c:pt>
                <c:pt idx="8">
                  <c:v>1.2</c:v>
                </c:pt>
                <c:pt idx="9">
                  <c:v>1.3</c:v>
                </c:pt>
                <c:pt idx="10">
                  <c:v>1.4000000000000001</c:v>
                </c:pt>
                <c:pt idx="11">
                  <c:v>1.5000000000000002</c:v>
                </c:pt>
                <c:pt idx="12">
                  <c:v>1.6000000000000003</c:v>
                </c:pt>
                <c:pt idx="13">
                  <c:v>1.7000000000000004</c:v>
                </c:pt>
              </c:numCache>
            </c:numRef>
          </c:xVal>
          <c:yVal>
            <c:numRef>
              <c:f>'Васко-5'!$Q$5:$Q$18</c:f>
              <c:numCache>
                <c:formatCode>0%</c:formatCode>
                <c:ptCount val="14"/>
                <c:pt idx="0">
                  <c:v>3.4980013888535569E-2</c:v>
                </c:pt>
                <c:pt idx="1">
                  <c:v>8.4976289941194522E-2</c:v>
                </c:pt>
                <c:pt idx="2">
                  <c:v>0.16775746214185278</c:v>
                </c:pt>
                <c:pt idx="3">
                  <c:v>0.29451173497455452</c:v>
                </c:pt>
                <c:pt idx="4">
                  <c:v>0.4497448057058544</c:v>
                </c:pt>
                <c:pt idx="5">
                  <c:v>0.5923123995233982</c:v>
                </c:pt>
                <c:pt idx="6">
                  <c:v>0.70016402448538695</c:v>
                </c:pt>
                <c:pt idx="7">
                  <c:v>0.77903378623113606</c:v>
                </c:pt>
                <c:pt idx="8">
                  <c:v>0.83340571575823985</c:v>
                </c:pt>
                <c:pt idx="9">
                  <c:v>0.87345972270363981</c:v>
                </c:pt>
                <c:pt idx="10">
                  <c:v>0.90922635267120211</c:v>
                </c:pt>
                <c:pt idx="11">
                  <c:v>0.93844585641712408</c:v>
                </c:pt>
                <c:pt idx="12">
                  <c:v>0.97113695704860159</c:v>
                </c:pt>
                <c:pt idx="13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66048"/>
        <c:axId val="65066624"/>
      </c:scatterChart>
      <c:valAx>
        <c:axId val="6506604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g-BG"/>
                  <a:t>ЕСД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5066624"/>
        <c:crosses val="autoZero"/>
        <c:crossBetween val="midCat"/>
        <c:majorUnit val="0.2"/>
      </c:valAx>
      <c:valAx>
        <c:axId val="6506662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</a:t>
                </a:r>
                <a:r>
                  <a:rPr lang="bg-BG"/>
                  <a:t>%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65066048"/>
        <c:crosses val="autoZero"/>
        <c:crossBetween val="midCat"/>
        <c:majorUnit val="0.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g-BG"/>
              <a:t>Вариационна крива за разпределение на процентния брой на дърветата по ЕСД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'Васко-5'!$N$5:$N$18</c:f>
              <c:numCache>
                <c:formatCode>General</c:formatCode>
                <c:ptCount val="14"/>
                <c:pt idx="0">
                  <c:v>0.4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0.79999999999999993</c:v>
                </c:pt>
                <c:pt idx="5">
                  <c:v>0.89999999999999991</c:v>
                </c:pt>
                <c:pt idx="6">
                  <c:v>0.99999999999999989</c:v>
                </c:pt>
                <c:pt idx="7">
                  <c:v>1.0999999999999999</c:v>
                </c:pt>
                <c:pt idx="8">
                  <c:v>1.2</c:v>
                </c:pt>
                <c:pt idx="9">
                  <c:v>1.3</c:v>
                </c:pt>
                <c:pt idx="10">
                  <c:v>1.4000000000000001</c:v>
                </c:pt>
                <c:pt idx="11">
                  <c:v>1.5000000000000002</c:v>
                </c:pt>
                <c:pt idx="12">
                  <c:v>1.6000000000000003</c:v>
                </c:pt>
                <c:pt idx="13">
                  <c:v>1.7000000000000004</c:v>
                </c:pt>
              </c:numCache>
            </c:numRef>
          </c:xVal>
          <c:yVal>
            <c:numRef>
              <c:f>'Васко-5'!$P$5:$P$18</c:f>
              <c:numCache>
                <c:formatCode>0%</c:formatCode>
                <c:ptCount val="14"/>
                <c:pt idx="0">
                  <c:v>3.4980013888535569E-2</c:v>
                </c:pt>
                <c:pt idx="1">
                  <c:v>4.9996276052658946E-2</c:v>
                </c:pt>
                <c:pt idx="2">
                  <c:v>8.2781172200658268E-2</c:v>
                </c:pt>
                <c:pt idx="3">
                  <c:v>0.12675427283270174</c:v>
                </c:pt>
                <c:pt idx="4">
                  <c:v>0.15523307073129985</c:v>
                </c:pt>
                <c:pt idx="5">
                  <c:v>0.14256759381754383</c:v>
                </c:pt>
                <c:pt idx="6">
                  <c:v>0.10785162496198872</c:v>
                </c:pt>
                <c:pt idx="7">
                  <c:v>7.8869761745749084E-2</c:v>
                </c:pt>
                <c:pt idx="8">
                  <c:v>5.4371929527103763E-2</c:v>
                </c:pt>
                <c:pt idx="9">
                  <c:v>4.0054006945399949E-2</c:v>
                </c:pt>
                <c:pt idx="10">
                  <c:v>3.5766629967562316E-2</c:v>
                </c:pt>
                <c:pt idx="11">
                  <c:v>2.9219503745921988E-2</c:v>
                </c:pt>
                <c:pt idx="12">
                  <c:v>3.2691100631477503E-2</c:v>
                </c:pt>
                <c:pt idx="13">
                  <c:v>2.8863042951398354E-2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68352"/>
        <c:axId val="81920000"/>
      </c:scatterChart>
      <c:valAx>
        <c:axId val="6506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g-BG"/>
                  <a:t>ЕСД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1920000"/>
        <c:crosses val="autoZero"/>
        <c:crossBetween val="midCat"/>
      </c:valAx>
      <c:valAx>
        <c:axId val="81920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bg-BG"/>
                  <a:t>брой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650683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g-BG"/>
              <a:t>Крива на височините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og"/>
            <c:dispRSqr val="0"/>
            <c:dispEq val="1"/>
            <c:trendlineLbl>
              <c:layout>
                <c:manualLayout>
                  <c:x val="-7.834558180227473E-2"/>
                  <c:y val="-6.2255030621172353E-2"/>
                </c:manualLayout>
              </c:layout>
              <c:numFmt formatCode="General" sourceLinked="0"/>
            </c:trendlineLbl>
          </c:trendline>
          <c:xVal>
            <c:numRef>
              <c:f>'Васко-6'!$B$5:$B$14</c:f>
              <c:numCache>
                <c:formatCode>General</c:formatCode>
                <c:ptCount val="10"/>
                <c:pt idx="0">
                  <c:v>10</c:v>
                </c:pt>
                <c:pt idx="1">
                  <c:v>14</c:v>
                </c:pt>
                <c:pt idx="2">
                  <c:v>18</c:v>
                </c:pt>
                <c:pt idx="3">
                  <c:v>22</c:v>
                </c:pt>
                <c:pt idx="4">
                  <c:v>26</c:v>
                </c:pt>
                <c:pt idx="5">
                  <c:v>30</c:v>
                </c:pt>
                <c:pt idx="6">
                  <c:v>34</c:v>
                </c:pt>
                <c:pt idx="7">
                  <c:v>38</c:v>
                </c:pt>
                <c:pt idx="8">
                  <c:v>42</c:v>
                </c:pt>
                <c:pt idx="9">
                  <c:v>46</c:v>
                </c:pt>
              </c:numCache>
            </c:numRef>
          </c:xVal>
          <c:yVal>
            <c:numRef>
              <c:f>'Васко-6'!$D$5:$D$14</c:f>
              <c:numCache>
                <c:formatCode>General</c:formatCode>
                <c:ptCount val="10"/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26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21728"/>
        <c:axId val="81922304"/>
      </c:scatterChart>
      <c:valAx>
        <c:axId val="8192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g-BG"/>
                  <a:t>степени на дабелина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1922304"/>
        <c:crosses val="autoZero"/>
        <c:crossBetween val="midCat"/>
        <c:majorUnit val="4"/>
      </c:valAx>
      <c:valAx>
        <c:axId val="81922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bg-BG"/>
                  <a:t>Измерени ср. Височини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19217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og"/>
            <c:dispRSqr val="0"/>
            <c:dispEq val="0"/>
          </c:trendline>
          <c:xVal>
            <c:numRef>
              <c:f>'Васко-7'!$A$5:$A$20</c:f>
              <c:numCache>
                <c:formatCode>General</c:formatCode>
                <c:ptCount val="16"/>
                <c:pt idx="0">
                  <c:v>14</c:v>
                </c:pt>
                <c:pt idx="1">
                  <c:v>18</c:v>
                </c:pt>
                <c:pt idx="2">
                  <c:v>22</c:v>
                </c:pt>
                <c:pt idx="3">
                  <c:v>26</c:v>
                </c:pt>
                <c:pt idx="4">
                  <c:v>30</c:v>
                </c:pt>
                <c:pt idx="5">
                  <c:v>34</c:v>
                </c:pt>
                <c:pt idx="6">
                  <c:v>38</c:v>
                </c:pt>
                <c:pt idx="7">
                  <c:v>42</c:v>
                </c:pt>
                <c:pt idx="8">
                  <c:v>46</c:v>
                </c:pt>
                <c:pt idx="9">
                  <c:v>50</c:v>
                </c:pt>
                <c:pt idx="10">
                  <c:v>54</c:v>
                </c:pt>
                <c:pt idx="11">
                  <c:v>58</c:v>
                </c:pt>
                <c:pt idx="12">
                  <c:v>62</c:v>
                </c:pt>
                <c:pt idx="13">
                  <c:v>66</c:v>
                </c:pt>
                <c:pt idx="14">
                  <c:v>70</c:v>
                </c:pt>
                <c:pt idx="15">
                  <c:v>74</c:v>
                </c:pt>
              </c:numCache>
            </c:numRef>
          </c:xVal>
          <c:yVal>
            <c:numRef>
              <c:f>'Васко-7'!$I$5:$I$20</c:f>
              <c:numCache>
                <c:formatCode>0.0</c:formatCode>
                <c:ptCount val="16"/>
                <c:pt idx="0">
                  <c:v>15.757142857142858</c:v>
                </c:pt>
                <c:pt idx="1">
                  <c:v>16.628571428571426</c:v>
                </c:pt>
                <c:pt idx="2">
                  <c:v>17.957142857142859</c:v>
                </c:pt>
                <c:pt idx="3">
                  <c:v>18.928571428571427</c:v>
                </c:pt>
                <c:pt idx="4">
                  <c:v>19.999999999999996</c:v>
                </c:pt>
                <c:pt idx="5">
                  <c:v>20.87142857142857</c:v>
                </c:pt>
                <c:pt idx="6">
                  <c:v>21.7</c:v>
                </c:pt>
                <c:pt idx="7">
                  <c:v>22.428571428571427</c:v>
                </c:pt>
                <c:pt idx="8">
                  <c:v>23.357142857142858</c:v>
                </c:pt>
                <c:pt idx="9">
                  <c:v>24.057142857142853</c:v>
                </c:pt>
                <c:pt idx="10">
                  <c:v>24.714285714285715</c:v>
                </c:pt>
                <c:pt idx="11">
                  <c:v>25.285714285714285</c:v>
                </c:pt>
                <c:pt idx="12">
                  <c:v>25.728571428571431</c:v>
                </c:pt>
                <c:pt idx="13">
                  <c:v>26.114285714285717</c:v>
                </c:pt>
                <c:pt idx="14">
                  <c:v>26.471428571428568</c:v>
                </c:pt>
                <c:pt idx="15">
                  <c:v>26.785714285714285</c:v>
                </c:pt>
              </c:numCache>
            </c:numRef>
          </c:yVal>
          <c:smooth val="1"/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81924032"/>
        <c:axId val="81924608"/>
      </c:scatterChart>
      <c:valAx>
        <c:axId val="81924032"/>
        <c:scaling>
          <c:orientation val="minMax"/>
          <c:max val="74"/>
          <c:min val="1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1924608"/>
        <c:crosses val="autoZero"/>
        <c:crossBetween val="midCat"/>
        <c:majorUnit val="4"/>
        <c:minorUnit val="4"/>
      </c:valAx>
      <c:valAx>
        <c:axId val="81924608"/>
        <c:scaling>
          <c:orientation val="minMax"/>
          <c:max val="40"/>
          <c:min val="16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bevel/>
            </a:ln>
          </c:spPr>
        </c:majorGridlines>
        <c:numFmt formatCode="0.0" sourceLinked="1"/>
        <c:majorTickMark val="out"/>
        <c:minorTickMark val="none"/>
        <c:tickLblPos val="nextTo"/>
        <c:crossAx val="81924032"/>
        <c:crosses val="autoZero"/>
        <c:crossBetween val="midCat"/>
        <c:majorUnit val="0.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g-BG"/>
              <a:t>Крива за изравняване на височините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og"/>
            <c:dispRSqr val="0"/>
            <c:dispEq val="1"/>
            <c:trendlineLbl>
              <c:layout>
                <c:manualLayout>
                  <c:x val="-0.15772659667541561"/>
                  <c:y val="-2.802092446777487E-2"/>
                </c:manualLayout>
              </c:layout>
              <c:numFmt formatCode="General" sourceLinked="0"/>
            </c:trendlineLbl>
          </c:trendline>
          <c:xVal>
            <c:numRef>
              <c:f>'Васко-7'!$A$5:$A$20</c:f>
              <c:numCache>
                <c:formatCode>General</c:formatCode>
                <c:ptCount val="16"/>
                <c:pt idx="0">
                  <c:v>14</c:v>
                </c:pt>
                <c:pt idx="1">
                  <c:v>18</c:v>
                </c:pt>
                <c:pt idx="2">
                  <c:v>22</c:v>
                </c:pt>
                <c:pt idx="3">
                  <c:v>26</c:v>
                </c:pt>
                <c:pt idx="4">
                  <c:v>30</c:v>
                </c:pt>
                <c:pt idx="5">
                  <c:v>34</c:v>
                </c:pt>
                <c:pt idx="6">
                  <c:v>38</c:v>
                </c:pt>
                <c:pt idx="7">
                  <c:v>42</c:v>
                </c:pt>
                <c:pt idx="8">
                  <c:v>46</c:v>
                </c:pt>
                <c:pt idx="9">
                  <c:v>50</c:v>
                </c:pt>
                <c:pt idx="10">
                  <c:v>54</c:v>
                </c:pt>
                <c:pt idx="11">
                  <c:v>58</c:v>
                </c:pt>
                <c:pt idx="12">
                  <c:v>62</c:v>
                </c:pt>
                <c:pt idx="13">
                  <c:v>66</c:v>
                </c:pt>
                <c:pt idx="14">
                  <c:v>70</c:v>
                </c:pt>
                <c:pt idx="15">
                  <c:v>74</c:v>
                </c:pt>
              </c:numCache>
            </c:numRef>
          </c:xVal>
          <c:yVal>
            <c:numRef>
              <c:f>'Васко-7'!$I$5:$I$20</c:f>
              <c:numCache>
                <c:formatCode>0.0</c:formatCode>
                <c:ptCount val="16"/>
                <c:pt idx="0">
                  <c:v>15.757142857142858</c:v>
                </c:pt>
                <c:pt idx="1">
                  <c:v>16.628571428571426</c:v>
                </c:pt>
                <c:pt idx="2">
                  <c:v>17.957142857142859</c:v>
                </c:pt>
                <c:pt idx="3">
                  <c:v>18.928571428571427</c:v>
                </c:pt>
                <c:pt idx="4">
                  <c:v>19.999999999999996</c:v>
                </c:pt>
                <c:pt idx="5">
                  <c:v>20.87142857142857</c:v>
                </c:pt>
                <c:pt idx="6">
                  <c:v>21.7</c:v>
                </c:pt>
                <c:pt idx="7">
                  <c:v>22.428571428571427</c:v>
                </c:pt>
                <c:pt idx="8">
                  <c:v>23.357142857142858</c:v>
                </c:pt>
                <c:pt idx="9">
                  <c:v>24.057142857142853</c:v>
                </c:pt>
                <c:pt idx="10">
                  <c:v>24.714285714285715</c:v>
                </c:pt>
                <c:pt idx="11">
                  <c:v>25.285714285714285</c:v>
                </c:pt>
                <c:pt idx="12">
                  <c:v>25.728571428571431</c:v>
                </c:pt>
                <c:pt idx="13">
                  <c:v>26.114285714285717</c:v>
                </c:pt>
                <c:pt idx="14">
                  <c:v>26.471428571428568</c:v>
                </c:pt>
                <c:pt idx="15">
                  <c:v>26.785714285714285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26336"/>
        <c:axId val="81926912"/>
      </c:scatterChart>
      <c:valAx>
        <c:axId val="81926336"/>
        <c:scaling>
          <c:orientation val="minMax"/>
          <c:max val="76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d1,3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1926912"/>
        <c:crosses val="autoZero"/>
        <c:crossBetween val="midCat"/>
        <c:majorUnit val="4"/>
      </c:valAx>
      <c:valAx>
        <c:axId val="81926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 </a:t>
                </a:r>
                <a:r>
                  <a:rPr lang="bg-BG"/>
                  <a:t>ср.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819263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23</xdr:row>
      <xdr:rowOff>9525</xdr:rowOff>
    </xdr:from>
    <xdr:to>
      <xdr:col>17</xdr:col>
      <xdr:colOff>533401</xdr:colOff>
      <xdr:row>46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24</xdr:row>
      <xdr:rowOff>0</xdr:rowOff>
    </xdr:from>
    <xdr:to>
      <xdr:col>10</xdr:col>
      <xdr:colOff>104775</xdr:colOff>
      <xdr:row>46</xdr:row>
      <xdr:rowOff>9525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46</xdr:row>
      <xdr:rowOff>180975</xdr:rowOff>
    </xdr:from>
    <xdr:to>
      <xdr:col>8</xdr:col>
      <xdr:colOff>600075</xdr:colOff>
      <xdr:row>66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9524</xdr:colOff>
      <xdr:row>46</xdr:row>
      <xdr:rowOff>190499</xdr:rowOff>
    </xdr:from>
    <xdr:to>
      <xdr:col>17</xdr:col>
      <xdr:colOff>609599</xdr:colOff>
      <xdr:row>66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</cdr:x>
      <cdr:y>0.09091</cdr:y>
    </cdr:from>
    <cdr:to>
      <cdr:x>1</cdr:x>
      <cdr:y>0.30909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33825" y="3810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200024</xdr:rowOff>
    </xdr:from>
    <xdr:to>
      <xdr:col>18</xdr:col>
      <xdr:colOff>0</xdr:colOff>
      <xdr:row>15</xdr:row>
      <xdr:rowOff>190499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76200</xdr:rowOff>
    </xdr:from>
    <xdr:to>
      <xdr:col>9</xdr:col>
      <xdr:colOff>28576</xdr:colOff>
      <xdr:row>114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361950</xdr:colOff>
      <xdr:row>22</xdr:row>
      <xdr:rowOff>9525</xdr:rowOff>
    </xdr:from>
    <xdr:to>
      <xdr:col>10</xdr:col>
      <xdr:colOff>0</xdr:colOff>
      <xdr:row>37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9"/>
  <sheetViews>
    <sheetView topLeftCell="A7" workbookViewId="0">
      <selection activeCell="H18" sqref="H18"/>
    </sheetView>
  </sheetViews>
  <sheetFormatPr defaultRowHeight="15" x14ac:dyDescent="0.25"/>
  <cols>
    <col min="1" max="1" width="9.28515625" customWidth="1"/>
    <col min="10" max="11" width="9.140625" style="5"/>
    <col min="15" max="15" width="10.5703125" customWidth="1"/>
    <col min="16" max="16" width="9.5703125" style="12" bestFit="1" customWidth="1"/>
    <col min="17" max="17" width="17.85546875" style="13" bestFit="1" customWidth="1"/>
    <col min="18" max="18" width="9.140625" style="4"/>
  </cols>
  <sheetData>
    <row r="1" spans="1:17" ht="15.75" thickBot="1" x14ac:dyDescent="0.3">
      <c r="A1" s="112" t="s">
        <v>53</v>
      </c>
      <c r="B1" s="112"/>
      <c r="C1" s="112"/>
      <c r="D1" t="s">
        <v>4</v>
      </c>
    </row>
    <row r="2" spans="1:17" x14ac:dyDescent="0.25">
      <c r="A2" s="118" t="s">
        <v>27</v>
      </c>
      <c r="B2" s="121" t="s">
        <v>28</v>
      </c>
      <c r="C2" s="124" t="s">
        <v>29</v>
      </c>
      <c r="D2" s="124"/>
      <c r="E2" s="124"/>
      <c r="F2" s="124"/>
      <c r="G2" s="124"/>
      <c r="H2" s="126" t="s">
        <v>30</v>
      </c>
      <c r="I2" s="41"/>
      <c r="J2" s="42"/>
      <c r="K2" s="43"/>
      <c r="L2" s="43"/>
      <c r="M2" s="43"/>
      <c r="N2" s="43" t="s">
        <v>31</v>
      </c>
      <c r="O2" s="44"/>
      <c r="P2" s="45" t="s">
        <v>6</v>
      </c>
      <c r="Q2" s="46"/>
    </row>
    <row r="3" spans="1:17" ht="18.75" thickBot="1" x14ac:dyDescent="0.3">
      <c r="A3" s="119"/>
      <c r="B3" s="122"/>
      <c r="C3" s="125"/>
      <c r="D3" s="125"/>
      <c r="E3" s="125"/>
      <c r="F3" s="125"/>
      <c r="G3" s="125"/>
      <c r="H3" s="127"/>
      <c r="I3" s="47" t="s">
        <v>0</v>
      </c>
      <c r="J3" s="48"/>
      <c r="K3" s="49"/>
      <c r="L3" s="49"/>
      <c r="M3" s="49" t="s">
        <v>39</v>
      </c>
      <c r="N3" s="50"/>
      <c r="O3" s="51" t="s">
        <v>5</v>
      </c>
      <c r="P3" s="52"/>
      <c r="Q3" s="53"/>
    </row>
    <row r="4" spans="1:17" ht="18.75" thickBot="1" x14ac:dyDescent="0.3">
      <c r="A4" s="120"/>
      <c r="B4" s="123"/>
      <c r="C4" s="125"/>
      <c r="D4" s="125"/>
      <c r="E4" s="125"/>
      <c r="F4" s="125"/>
      <c r="G4" s="125"/>
      <c r="H4" s="127"/>
      <c r="I4" s="54" t="s">
        <v>32</v>
      </c>
      <c r="J4" s="55" t="s">
        <v>33</v>
      </c>
      <c r="K4" s="56" t="s">
        <v>3</v>
      </c>
      <c r="L4" s="56" t="s">
        <v>7</v>
      </c>
      <c r="M4" s="56" t="s">
        <v>40</v>
      </c>
      <c r="N4" s="56" t="s">
        <v>8</v>
      </c>
      <c r="O4" s="57" t="s">
        <v>9</v>
      </c>
      <c r="P4" s="58" t="s">
        <v>10</v>
      </c>
      <c r="Q4" s="59" t="s">
        <v>11</v>
      </c>
    </row>
    <row r="5" spans="1:17" ht="15.75" thickBot="1" x14ac:dyDescent="0.3">
      <c r="A5" s="34">
        <v>14</v>
      </c>
      <c r="B5" s="31">
        <v>20</v>
      </c>
      <c r="C5" s="60">
        <v>13.5</v>
      </c>
      <c r="D5" s="60">
        <v>14</v>
      </c>
      <c r="E5" s="60">
        <v>13</v>
      </c>
      <c r="F5" s="60">
        <v>13.3</v>
      </c>
      <c r="G5" s="61"/>
      <c r="H5" s="62">
        <f t="shared" ref="H5:H16" si="0">AVERAGE(C5:G5)</f>
        <v>13.45</v>
      </c>
      <c r="I5" s="37">
        <f t="shared" ref="I5:I16" si="1">B5*J5</f>
        <v>0.30787608005179973</v>
      </c>
      <c r="J5" s="27">
        <f t="shared" ref="J5:J16" si="2">$B$18*(A5)^2/40000</f>
        <v>1.5393804002589986E-2</v>
      </c>
      <c r="K5" s="29">
        <f>A5/$B$20</f>
        <v>0.41893517865593577</v>
      </c>
      <c r="L5" s="71">
        <f>(B5/$B$17)</f>
        <v>4.9140049140049137E-2</v>
      </c>
      <c r="M5" s="72">
        <f>I5*H5</f>
        <v>4.140933276696706</v>
      </c>
      <c r="N5" s="26">
        <v>0.4</v>
      </c>
      <c r="O5" s="28">
        <f>TREND(E18:E19,F18:F19,N5)</f>
        <v>16.836115529452634</v>
      </c>
      <c r="P5" s="30">
        <f>O5/$O$19</f>
        <v>3.4980013888535569E-2</v>
      </c>
      <c r="Q5" s="38">
        <f>P5</f>
        <v>3.4980013888535569E-2</v>
      </c>
    </row>
    <row r="6" spans="1:17" ht="15.75" thickBot="1" x14ac:dyDescent="0.3">
      <c r="A6" s="34">
        <f>A5+4</f>
        <v>18</v>
      </c>
      <c r="B6" s="31">
        <v>26</v>
      </c>
      <c r="C6" s="60">
        <v>15.9</v>
      </c>
      <c r="D6" s="60">
        <v>15</v>
      </c>
      <c r="E6" s="60">
        <v>15.5</v>
      </c>
      <c r="F6" s="60">
        <v>16</v>
      </c>
      <c r="G6" s="61">
        <v>16.5</v>
      </c>
      <c r="H6" s="62">
        <f t="shared" si="0"/>
        <v>15.780000000000001</v>
      </c>
      <c r="I6" s="37">
        <f t="shared" si="1"/>
        <v>0.66161941284601034</v>
      </c>
      <c r="J6" s="27">
        <f t="shared" si="2"/>
        <v>2.5446900494077322E-2</v>
      </c>
      <c r="K6" s="29">
        <f t="shared" ref="K6:K16" si="3">A6/$B$20</f>
        <v>0.53863094398620315</v>
      </c>
      <c r="L6" s="71">
        <f t="shared" ref="L6:L16" si="4">(B6/$B$17)</f>
        <v>6.3882063882063883E-2</v>
      </c>
      <c r="M6" s="72">
        <f t="shared" ref="M6:M16" si="5">I6*H6</f>
        <v>10.440354334710044</v>
      </c>
      <c r="N6" s="26">
        <f>N5+0.1</f>
        <v>0.5</v>
      </c>
      <c r="O6" s="28">
        <f>TREND(B5:B6,K5:K6,N6)</f>
        <v>24.063543323544735</v>
      </c>
      <c r="P6" s="30">
        <f t="shared" ref="P6:P18" si="6">O6/$O$19</f>
        <v>4.9996276052658946E-2</v>
      </c>
      <c r="Q6" s="38">
        <f>Q5+P6</f>
        <v>8.4976289941194522E-2</v>
      </c>
    </row>
    <row r="7" spans="1:17" ht="15.75" thickBot="1" x14ac:dyDescent="0.3">
      <c r="A7" s="34">
        <f t="shared" ref="A7:A16" si="7">A6+4</f>
        <v>22</v>
      </c>
      <c r="B7" s="31">
        <v>53</v>
      </c>
      <c r="C7" s="60">
        <v>18.7</v>
      </c>
      <c r="D7" s="60">
        <v>18</v>
      </c>
      <c r="E7" s="60">
        <v>18.3</v>
      </c>
      <c r="F7" s="60">
        <v>19.5</v>
      </c>
      <c r="G7" s="61">
        <v>18.5</v>
      </c>
      <c r="H7" s="62">
        <f t="shared" si="0"/>
        <v>18.600000000000001</v>
      </c>
      <c r="I7" s="37">
        <f t="shared" si="1"/>
        <v>2.0147033687471345</v>
      </c>
      <c r="J7" s="27">
        <f t="shared" si="2"/>
        <v>3.8013271108436497E-2</v>
      </c>
      <c r="K7" s="29">
        <f t="shared" si="3"/>
        <v>0.65832670931647053</v>
      </c>
      <c r="L7" s="71">
        <f t="shared" si="4"/>
        <v>0.13022113022113022</v>
      </c>
      <c r="M7" s="72">
        <f t="shared" si="5"/>
        <v>37.473482658696703</v>
      </c>
      <c r="N7" s="26">
        <f t="shared" ref="N7:N18" si="8">N6+0.1</f>
        <v>0.6</v>
      </c>
      <c r="O7" s="28">
        <f>TREND(B6:B7,K6:K7,N7)</f>
        <v>39.843133947141581</v>
      </c>
      <c r="P7" s="30">
        <f t="shared" si="6"/>
        <v>8.2781172200658268E-2</v>
      </c>
      <c r="Q7" s="38">
        <f>Q6+P7</f>
        <v>0.16775746214185278</v>
      </c>
    </row>
    <row r="8" spans="1:17" ht="15.75" thickBot="1" x14ac:dyDescent="0.3">
      <c r="A8" s="34">
        <f t="shared" si="7"/>
        <v>26</v>
      </c>
      <c r="B8" s="31">
        <v>76</v>
      </c>
      <c r="C8" s="60">
        <v>20.5</v>
      </c>
      <c r="D8" s="60">
        <v>20</v>
      </c>
      <c r="E8" s="60">
        <v>21</v>
      </c>
      <c r="F8" s="60">
        <v>21.3</v>
      </c>
      <c r="G8" s="61">
        <v>21.5</v>
      </c>
      <c r="H8" s="62">
        <f t="shared" si="0"/>
        <v>20.86</v>
      </c>
      <c r="I8" s="37">
        <f t="shared" si="1"/>
        <v>4.0350616042707301</v>
      </c>
      <c r="J8" s="27">
        <f t="shared" si="2"/>
        <v>5.3092915845667506E-2</v>
      </c>
      <c r="K8" s="29">
        <f t="shared" si="3"/>
        <v>0.7780224746467379</v>
      </c>
      <c r="L8" s="71">
        <f t="shared" si="4"/>
        <v>0.18673218673218672</v>
      </c>
      <c r="M8" s="72">
        <f t="shared" si="5"/>
        <v>84.171385065087435</v>
      </c>
      <c r="N8" s="26">
        <f t="shared" si="8"/>
        <v>0.7</v>
      </c>
      <c r="O8" s="28">
        <f>TREND(B7:B8,K7:K8,N8)</f>
        <v>61.007682503023375</v>
      </c>
      <c r="P8" s="30">
        <f t="shared" si="6"/>
        <v>0.12675427283270174</v>
      </c>
      <c r="Q8" s="38">
        <f t="shared" ref="Q8:Q14" si="9">Q7+P8</f>
        <v>0.29451173497455452</v>
      </c>
    </row>
    <row r="9" spans="1:17" ht="15.75" thickBot="1" x14ac:dyDescent="0.3">
      <c r="A9" s="34">
        <f t="shared" si="7"/>
        <v>30</v>
      </c>
      <c r="B9" s="31">
        <v>69</v>
      </c>
      <c r="C9" s="60">
        <v>22</v>
      </c>
      <c r="D9" s="60">
        <v>21.5</v>
      </c>
      <c r="E9" s="60">
        <v>23</v>
      </c>
      <c r="F9" s="60">
        <v>22.5</v>
      </c>
      <c r="G9" s="61">
        <v>23.3</v>
      </c>
      <c r="H9" s="62">
        <f t="shared" si="0"/>
        <v>22.46</v>
      </c>
      <c r="I9" s="37">
        <f t="shared" si="1"/>
        <v>4.8773225946981542</v>
      </c>
      <c r="J9" s="27">
        <f t="shared" si="2"/>
        <v>7.0685834705770348E-2</v>
      </c>
      <c r="K9" s="29">
        <f t="shared" si="3"/>
        <v>0.89771823997700528</v>
      </c>
      <c r="L9" s="71">
        <f t="shared" si="4"/>
        <v>0.16953316953316952</v>
      </c>
      <c r="M9" s="72">
        <f>I9*H9</f>
        <v>109.54466547692054</v>
      </c>
      <c r="N9" s="26">
        <f t="shared" si="8"/>
        <v>0.79999999999999993</v>
      </c>
      <c r="O9" s="28">
        <f>TREND(B8:B9,K8:K9,N9)</f>
        <v>74.714719129383155</v>
      </c>
      <c r="P9" s="30">
        <f t="shared" si="6"/>
        <v>0.15523307073129985</v>
      </c>
      <c r="Q9" s="38">
        <f>Q8+P9</f>
        <v>0.4497448057058544</v>
      </c>
    </row>
    <row r="10" spans="1:17" ht="15.75" thickBot="1" x14ac:dyDescent="0.3">
      <c r="A10" s="34">
        <f t="shared" si="7"/>
        <v>34</v>
      </c>
      <c r="B10" s="31">
        <v>49</v>
      </c>
      <c r="C10" s="60">
        <v>24.5</v>
      </c>
      <c r="D10" s="60">
        <v>23.5</v>
      </c>
      <c r="E10" s="60">
        <v>24</v>
      </c>
      <c r="F10" s="60">
        <v>25</v>
      </c>
      <c r="G10" s="61">
        <v>23</v>
      </c>
      <c r="H10" s="62">
        <f t="shared" si="0"/>
        <v>24</v>
      </c>
      <c r="I10" s="37">
        <f t="shared" si="1"/>
        <v>4.4488093567485061</v>
      </c>
      <c r="J10" s="27">
        <f t="shared" si="2"/>
        <v>9.0792027688745017E-2</v>
      </c>
      <c r="K10" s="29">
        <f t="shared" si="3"/>
        <v>1.0174140053072727</v>
      </c>
      <c r="L10" s="71">
        <f t="shared" si="4"/>
        <v>0.12039312039312039</v>
      </c>
      <c r="M10" s="72">
        <f t="shared" si="5"/>
        <v>106.77142456196415</v>
      </c>
      <c r="N10" s="26">
        <f t="shared" si="8"/>
        <v>0.89999999999999991</v>
      </c>
      <c r="O10" s="28">
        <f>TREND(B9:B10,K9:K10,N10)</f>
        <v>68.618740058731646</v>
      </c>
      <c r="P10" s="30">
        <f t="shared" si="6"/>
        <v>0.14256759381754383</v>
      </c>
      <c r="Q10" s="38">
        <f>Q9+P10</f>
        <v>0.5923123995233982</v>
      </c>
    </row>
    <row r="11" spans="1:17" ht="15.75" thickBot="1" x14ac:dyDescent="0.3">
      <c r="A11" s="34">
        <f t="shared" si="7"/>
        <v>38</v>
      </c>
      <c r="B11" s="31">
        <v>33</v>
      </c>
      <c r="C11" s="60">
        <v>25.5</v>
      </c>
      <c r="D11" s="60">
        <v>24.5</v>
      </c>
      <c r="E11" s="60">
        <v>25</v>
      </c>
      <c r="F11" s="60">
        <v>26.3</v>
      </c>
      <c r="G11" s="61">
        <v>26</v>
      </c>
      <c r="H11" s="62">
        <f t="shared" si="0"/>
        <v>25.46</v>
      </c>
      <c r="I11" s="37">
        <f t="shared" si="1"/>
        <v>3.7425793282215203</v>
      </c>
      <c r="J11" s="27">
        <f t="shared" si="2"/>
        <v>0.11341149479459152</v>
      </c>
      <c r="K11" s="29">
        <f t="shared" si="3"/>
        <v>1.1371097706375399</v>
      </c>
      <c r="L11" s="71">
        <f t="shared" si="4"/>
        <v>8.1081081081081086E-2</v>
      </c>
      <c r="M11" s="72">
        <f t="shared" si="5"/>
        <v>95.286069696519903</v>
      </c>
      <c r="N11" s="26">
        <f t="shared" si="8"/>
        <v>0.99999999999999989</v>
      </c>
      <c r="O11" s="28">
        <f t="shared" ref="O11:O16" si="10">TREND(B9:B10,K9:K10,N11)</f>
        <v>51.909711176368489</v>
      </c>
      <c r="P11" s="30">
        <f t="shared" si="6"/>
        <v>0.10785162496198872</v>
      </c>
      <c r="Q11" s="38">
        <f>Q10+P11</f>
        <v>0.70016402448538695</v>
      </c>
    </row>
    <row r="12" spans="1:17" ht="15.75" thickBot="1" x14ac:dyDescent="0.3">
      <c r="A12" s="34">
        <f t="shared" si="7"/>
        <v>42</v>
      </c>
      <c r="B12" s="31">
        <v>20</v>
      </c>
      <c r="C12" s="60">
        <v>26</v>
      </c>
      <c r="D12" s="60">
        <v>26.5</v>
      </c>
      <c r="E12" s="60">
        <v>26.3</v>
      </c>
      <c r="F12" s="60"/>
      <c r="G12" s="61"/>
      <c r="H12" s="62">
        <f t="shared" si="0"/>
        <v>26.266666666666666</v>
      </c>
      <c r="I12" s="37">
        <f t="shared" si="1"/>
        <v>2.7708847204661975</v>
      </c>
      <c r="J12" s="27">
        <f t="shared" si="2"/>
        <v>0.13854423602330987</v>
      </c>
      <c r="K12" s="29">
        <f t="shared" si="3"/>
        <v>1.2568055359678074</v>
      </c>
      <c r="L12" s="71">
        <f t="shared" si="4"/>
        <v>4.9140049140049137E-2</v>
      </c>
      <c r="M12" s="72">
        <f t="shared" si="5"/>
        <v>72.781905324245457</v>
      </c>
      <c r="N12" s="26">
        <f t="shared" si="8"/>
        <v>1.0999999999999999</v>
      </c>
      <c r="O12" s="28">
        <f t="shared" si="10"/>
        <v>37.960545835204243</v>
      </c>
      <c r="P12" s="30">
        <f t="shared" si="6"/>
        <v>7.8869761745749084E-2</v>
      </c>
      <c r="Q12" s="38">
        <f>Q11+P12</f>
        <v>0.77903378623113606</v>
      </c>
    </row>
    <row r="13" spans="1:17" ht="15.75" thickBot="1" x14ac:dyDescent="0.3">
      <c r="A13" s="34">
        <f t="shared" si="7"/>
        <v>46</v>
      </c>
      <c r="B13" s="31">
        <v>18</v>
      </c>
      <c r="C13" s="60">
        <v>26.5</v>
      </c>
      <c r="D13" s="60">
        <v>27.5</v>
      </c>
      <c r="E13" s="60">
        <v>27.3</v>
      </c>
      <c r="F13" s="60"/>
      <c r="G13" s="61"/>
      <c r="H13" s="62">
        <f t="shared" si="0"/>
        <v>27.099999999999998</v>
      </c>
      <c r="I13" s="37">
        <f t="shared" si="1"/>
        <v>2.9914245247482008</v>
      </c>
      <c r="J13" s="27">
        <f t="shared" si="2"/>
        <v>0.16619025137490004</v>
      </c>
      <c r="K13" s="29">
        <f t="shared" si="3"/>
        <v>1.3765013012980747</v>
      </c>
      <c r="L13" s="71">
        <f t="shared" si="4"/>
        <v>4.4226044226044224E-2</v>
      </c>
      <c r="M13" s="72">
        <f t="shared" si="5"/>
        <v>81.067604620676235</v>
      </c>
      <c r="N13" s="26">
        <f t="shared" si="8"/>
        <v>1.2</v>
      </c>
      <c r="O13" s="28">
        <f t="shared" si="10"/>
        <v>26.169574717567372</v>
      </c>
      <c r="P13" s="30">
        <f t="shared" si="6"/>
        <v>5.4371929527103763E-2</v>
      </c>
      <c r="Q13" s="38">
        <f>Q12+P13</f>
        <v>0.83340571575823985</v>
      </c>
    </row>
    <row r="14" spans="1:17" ht="15.75" thickBot="1" x14ac:dyDescent="0.3">
      <c r="A14" s="34">
        <f t="shared" si="7"/>
        <v>50</v>
      </c>
      <c r="B14" s="31">
        <v>14</v>
      </c>
      <c r="C14" s="60">
        <v>27.7</v>
      </c>
      <c r="D14" s="60">
        <v>27.4</v>
      </c>
      <c r="E14" s="60">
        <v>28</v>
      </c>
      <c r="F14" s="60"/>
      <c r="G14" s="61"/>
      <c r="H14" s="62">
        <f t="shared" si="0"/>
        <v>27.7</v>
      </c>
      <c r="I14" s="37">
        <f t="shared" si="1"/>
        <v>2.748893571891069</v>
      </c>
      <c r="J14" s="27">
        <f t="shared" si="2"/>
        <v>0.19634954084936207</v>
      </c>
      <c r="K14" s="29">
        <f t="shared" si="3"/>
        <v>1.4961970666283422</v>
      </c>
      <c r="L14" s="71">
        <f t="shared" si="4"/>
        <v>3.4398034398034398E-2</v>
      </c>
      <c r="M14" s="72">
        <f t="shared" si="5"/>
        <v>76.14435194138261</v>
      </c>
      <c r="N14" s="26">
        <f t="shared" si="8"/>
        <v>1.3</v>
      </c>
      <c r="O14" s="28">
        <f t="shared" si="10"/>
        <v>19.278262452927901</v>
      </c>
      <c r="P14" s="30">
        <f t="shared" si="6"/>
        <v>4.0054006945399949E-2</v>
      </c>
      <c r="Q14" s="38">
        <f t="shared" si="9"/>
        <v>0.87345972270363981</v>
      </c>
    </row>
    <row r="15" spans="1:17" ht="15.75" thickBot="1" x14ac:dyDescent="0.3">
      <c r="A15" s="34">
        <f t="shared" si="7"/>
        <v>54</v>
      </c>
      <c r="B15" s="31">
        <v>16</v>
      </c>
      <c r="C15" s="60">
        <v>28.1</v>
      </c>
      <c r="D15" s="60">
        <v>27.6</v>
      </c>
      <c r="E15" s="60">
        <v>28.5</v>
      </c>
      <c r="F15" s="60"/>
      <c r="G15" s="61"/>
      <c r="H15" s="62">
        <f t="shared" si="0"/>
        <v>28.066666666666666</v>
      </c>
      <c r="I15" s="37">
        <f t="shared" si="1"/>
        <v>3.6643536711471345</v>
      </c>
      <c r="J15" s="27">
        <f t="shared" si="2"/>
        <v>0.22902210444669591</v>
      </c>
      <c r="K15" s="29">
        <f t="shared" si="3"/>
        <v>1.6158928319586094</v>
      </c>
      <c r="L15" s="71">
        <f t="shared" si="4"/>
        <v>3.9312039312039311E-2</v>
      </c>
      <c r="M15" s="72">
        <f t="shared" si="5"/>
        <v>102.84619303686291</v>
      </c>
      <c r="N15" s="26">
        <f t="shared" si="8"/>
        <v>1.4000000000000001</v>
      </c>
      <c r="O15" s="28">
        <f t="shared" si="10"/>
        <v>17.214719129383163</v>
      </c>
      <c r="P15" s="30">
        <f t="shared" si="6"/>
        <v>3.5766629967562316E-2</v>
      </c>
      <c r="Q15" s="38">
        <f>Q14+P15</f>
        <v>0.90922635267120211</v>
      </c>
    </row>
    <row r="16" spans="1:17" x14ac:dyDescent="0.25">
      <c r="A16" s="34">
        <f t="shared" si="7"/>
        <v>58</v>
      </c>
      <c r="B16" s="31">
        <v>13</v>
      </c>
      <c r="C16" s="60">
        <v>28.2</v>
      </c>
      <c r="D16" s="60">
        <v>28.4</v>
      </c>
      <c r="E16" s="60">
        <v>28.6</v>
      </c>
      <c r="F16" s="60"/>
      <c r="G16" s="61"/>
      <c r="H16" s="62">
        <f t="shared" si="0"/>
        <v>28.399999999999995</v>
      </c>
      <c r="I16" s="37">
        <f t="shared" si="1"/>
        <v>3.4347032481697206</v>
      </c>
      <c r="J16" s="27">
        <f t="shared" si="2"/>
        <v>0.26420794216690158</v>
      </c>
      <c r="K16" s="29">
        <f t="shared" si="3"/>
        <v>1.7355885972888767</v>
      </c>
      <c r="L16" s="71">
        <f t="shared" si="4"/>
        <v>3.1941031941031942E-2</v>
      </c>
      <c r="M16" s="72">
        <f t="shared" si="5"/>
        <v>97.545572248020051</v>
      </c>
      <c r="N16" s="26">
        <f t="shared" si="8"/>
        <v>1.5000000000000002</v>
      </c>
      <c r="O16" s="28">
        <f t="shared" si="10"/>
        <v>14.063543323544739</v>
      </c>
      <c r="P16" s="30">
        <f t="shared" si="6"/>
        <v>2.9219503745921988E-2</v>
      </c>
      <c r="Q16" s="38">
        <f>Q15+P16</f>
        <v>0.93844585641712408</v>
      </c>
    </row>
    <row r="17" spans="1:17" ht="15.75" thickBot="1" x14ac:dyDescent="0.3">
      <c r="A17" s="32"/>
      <c r="B17" s="36">
        <f>SUM(B5:B16)</f>
        <v>407</v>
      </c>
      <c r="C17" s="33"/>
      <c r="D17" s="33"/>
      <c r="E17" s="33"/>
      <c r="F17" s="33"/>
      <c r="G17" s="35"/>
      <c r="H17" s="63">
        <f>AVERAGE(H5:H16)</f>
        <v>23.17861111111111</v>
      </c>
      <c r="I17" s="39">
        <f>SUM(I5:I16)</f>
        <v>35.698231482006172</v>
      </c>
      <c r="J17" s="115" t="s">
        <v>37</v>
      </c>
      <c r="K17" s="116"/>
      <c r="L17" s="117"/>
      <c r="M17" s="73">
        <f>SUM(M5:M16)</f>
        <v>878.21394224178289</v>
      </c>
      <c r="N17" s="26">
        <f t="shared" si="8"/>
        <v>1.6000000000000003</v>
      </c>
      <c r="O17" s="28">
        <f>TREND(B14:B15,K14:K15,N17)</f>
        <v>15.734446211781055</v>
      </c>
      <c r="P17" s="30">
        <f t="shared" si="6"/>
        <v>3.2691100631477503E-2</v>
      </c>
      <c r="Q17" s="38">
        <f>Q16+P17</f>
        <v>0.97113695704860159</v>
      </c>
    </row>
    <row r="18" spans="1:17" ht="18" x14ac:dyDescent="0.25">
      <c r="A18" s="78" t="s">
        <v>41</v>
      </c>
      <c r="B18" s="3">
        <f>PI()</f>
        <v>3.1415926535897931</v>
      </c>
      <c r="C18" s="74" t="s">
        <v>38</v>
      </c>
      <c r="D18" s="75">
        <f>M17/I17</f>
        <v>24.601049009513257</v>
      </c>
      <c r="E18" s="76">
        <v>0</v>
      </c>
      <c r="F18" s="77">
        <f>10/B20</f>
        <v>0.29923941332566839</v>
      </c>
      <c r="G18" s="20"/>
      <c r="H18" s="20"/>
      <c r="I18" s="25"/>
      <c r="J18" s="25"/>
      <c r="K18" s="20"/>
      <c r="L18" s="20"/>
      <c r="M18" s="20"/>
      <c r="N18" s="26">
        <f t="shared" si="8"/>
        <v>1.7000000000000004</v>
      </c>
      <c r="O18" s="28">
        <f>TREND(B15:B16,K15:K16,N18)</f>
        <v>13.891976349973945</v>
      </c>
      <c r="P18" s="30">
        <f t="shared" si="6"/>
        <v>2.8863042951398354E-2</v>
      </c>
      <c r="Q18" s="38">
        <f>Q17+P18</f>
        <v>1</v>
      </c>
    </row>
    <row r="19" spans="1:17" ht="15.75" thickBot="1" x14ac:dyDescent="0.3">
      <c r="A19" s="79" t="s">
        <v>42</v>
      </c>
      <c r="B19" s="64">
        <f>I17/B17</f>
        <v>8.7710642461931623E-2</v>
      </c>
      <c r="E19" s="76">
        <f>B5</f>
        <v>20</v>
      </c>
      <c r="F19" s="77">
        <f>K5</f>
        <v>0.41893517865593577</v>
      </c>
      <c r="I19" s="5"/>
      <c r="K19"/>
      <c r="O19" s="40">
        <f>SUM(O5:O18)</f>
        <v>481.30671368802808</v>
      </c>
      <c r="P19" s="30">
        <f>SUM(P5:P18)</f>
        <v>1</v>
      </c>
      <c r="Q19" s="4"/>
    </row>
    <row r="20" spans="1:17" ht="15.75" thickBot="1" x14ac:dyDescent="0.3">
      <c r="A20" s="80" t="s">
        <v>43</v>
      </c>
      <c r="B20" s="65">
        <f>SQRT((4*B19)/B18)*100</f>
        <v>33.418057764726314</v>
      </c>
      <c r="I20" s="5"/>
      <c r="K20"/>
      <c r="O20" s="12"/>
      <c r="P20" s="13"/>
      <c r="Q20" s="4"/>
    </row>
    <row r="21" spans="1:17" x14ac:dyDescent="0.25">
      <c r="A21" s="113" t="s">
        <v>34</v>
      </c>
      <c r="B21" s="114"/>
      <c r="I21" s="5"/>
      <c r="K21"/>
      <c r="O21" s="12"/>
      <c r="P21" s="13"/>
      <c r="Q21" s="4"/>
    </row>
    <row r="22" spans="1:17" x14ac:dyDescent="0.25">
      <c r="A22" s="66" t="s">
        <v>35</v>
      </c>
      <c r="B22" s="67" t="s">
        <v>36</v>
      </c>
    </row>
    <row r="23" spans="1:17" x14ac:dyDescent="0.25">
      <c r="A23" s="68">
        <f>B17*40%</f>
        <v>162.80000000000001</v>
      </c>
      <c r="B23" s="69">
        <f>B17*60%</f>
        <v>244.2</v>
      </c>
    </row>
    <row r="24" spans="1:17" ht="15.75" thickBot="1" x14ac:dyDescent="0.3">
      <c r="A24" s="32">
        <f>A10</f>
        <v>34</v>
      </c>
      <c r="B24" s="70">
        <f>A24</f>
        <v>34</v>
      </c>
    </row>
    <row r="39" spans="3:3" x14ac:dyDescent="0.25">
      <c r="C39" s="2">
        <f>11.059*LN(B20)-14.103</f>
        <v>24.704097148664772</v>
      </c>
    </row>
  </sheetData>
  <mergeCells count="7">
    <mergeCell ref="A1:C1"/>
    <mergeCell ref="A21:B21"/>
    <mergeCell ref="J17:L17"/>
    <mergeCell ref="A2:A4"/>
    <mergeCell ref="B2:B4"/>
    <mergeCell ref="C2:G4"/>
    <mergeCell ref="H2:H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topLeftCell="A13" workbookViewId="0">
      <selection activeCell="B38" sqref="B38"/>
    </sheetView>
  </sheetViews>
  <sheetFormatPr defaultRowHeight="15" x14ac:dyDescent="0.25"/>
  <cols>
    <col min="2" max="2" width="11.5703125" bestFit="1" customWidth="1"/>
    <col min="4" max="4" width="11.140625" customWidth="1"/>
    <col min="5" max="5" width="9.5703125" customWidth="1"/>
    <col min="8" max="8" width="9.140625" style="5"/>
  </cols>
  <sheetData>
    <row r="1" spans="1:21" ht="15.75" thickBot="1" x14ac:dyDescent="0.3">
      <c r="A1" s="129" t="s">
        <v>44</v>
      </c>
      <c r="B1" s="128"/>
      <c r="C1" s="128"/>
      <c r="D1" s="128"/>
      <c r="E1" s="128"/>
      <c r="F1" s="128"/>
      <c r="G1" s="128"/>
      <c r="H1" s="128"/>
    </row>
    <row r="2" spans="1:21" ht="18.75" customHeight="1" thickBot="1" x14ac:dyDescent="0.3">
      <c r="A2" s="130"/>
      <c r="B2" s="131" t="s">
        <v>51</v>
      </c>
      <c r="C2" s="134" t="s">
        <v>45</v>
      </c>
      <c r="D2" s="137" t="s">
        <v>48</v>
      </c>
      <c r="E2" s="131" t="s">
        <v>46</v>
      </c>
      <c r="F2" s="134" t="s">
        <v>47</v>
      </c>
      <c r="G2" s="140" t="s">
        <v>49</v>
      </c>
      <c r="H2" s="143" t="s">
        <v>50</v>
      </c>
      <c r="I2" s="9"/>
      <c r="J2" s="8"/>
    </row>
    <row r="3" spans="1:21" x14ac:dyDescent="0.25">
      <c r="A3" s="83"/>
      <c r="B3" s="132"/>
      <c r="C3" s="135"/>
      <c r="D3" s="138"/>
      <c r="E3" s="132"/>
      <c r="F3" s="135"/>
      <c r="G3" s="141"/>
      <c r="H3" s="144"/>
      <c r="I3" s="84"/>
      <c r="J3" s="84"/>
    </row>
    <row r="4" spans="1:21" x14ac:dyDescent="0.25">
      <c r="A4" s="83"/>
      <c r="B4" s="133"/>
      <c r="C4" s="136"/>
      <c r="D4" s="139"/>
      <c r="E4" s="133"/>
      <c r="F4" s="136"/>
      <c r="G4" s="142"/>
      <c r="H4" s="145"/>
      <c r="I4" s="84"/>
      <c r="J4" s="84"/>
    </row>
    <row r="5" spans="1:21" x14ac:dyDescent="0.25">
      <c r="B5" s="91">
        <v>10</v>
      </c>
      <c r="C5" s="88"/>
      <c r="D5" s="89"/>
      <c r="E5" s="91">
        <v>1</v>
      </c>
      <c r="F5" s="19">
        <v>40</v>
      </c>
      <c r="G5" s="94"/>
      <c r="H5" s="95"/>
    </row>
    <row r="6" spans="1:21" x14ac:dyDescent="0.25">
      <c r="A6" s="7"/>
      <c r="B6" s="91">
        <f>B5+4</f>
        <v>14</v>
      </c>
      <c r="C6" s="88"/>
      <c r="D6" s="89"/>
      <c r="E6" s="91">
        <f>E5+2</f>
        <v>3</v>
      </c>
      <c r="F6" s="19">
        <v>39</v>
      </c>
      <c r="G6" s="94"/>
      <c r="H6" s="95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x14ac:dyDescent="0.25">
      <c r="A7" s="7"/>
      <c r="B7" s="91">
        <f t="shared" ref="B7:B20" si="0">B6+4</f>
        <v>18</v>
      </c>
      <c r="C7" s="88">
        <v>10</v>
      </c>
      <c r="D7" s="89">
        <v>18</v>
      </c>
      <c r="E7" s="91">
        <f t="shared" ref="E7:E16" si="1">E6+2</f>
        <v>5</v>
      </c>
      <c r="F7" s="19">
        <v>37</v>
      </c>
      <c r="G7" s="94">
        <f>$B$26*B7^2/40000</f>
        <v>2.5446900494077322E-2</v>
      </c>
      <c r="H7" s="95">
        <f t="shared" ref="H7:H18" si="2">C7*G7</f>
        <v>0.25446900494077324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x14ac:dyDescent="0.25">
      <c r="A8" s="7"/>
      <c r="B8" s="91">
        <f t="shared" si="0"/>
        <v>22</v>
      </c>
      <c r="C8" s="88">
        <v>12</v>
      </c>
      <c r="D8" s="89">
        <v>20</v>
      </c>
      <c r="E8" s="91">
        <f t="shared" si="1"/>
        <v>7</v>
      </c>
      <c r="F8" s="81">
        <v>36</v>
      </c>
      <c r="G8" s="94">
        <f t="shared" ref="G8:G18" si="3">$B$26*B8^2/40000</f>
        <v>3.8013271108436497E-2</v>
      </c>
      <c r="H8" s="95">
        <f t="shared" si="2"/>
        <v>0.45615925330123797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x14ac:dyDescent="0.25">
      <c r="A9" s="7"/>
      <c r="B9" s="91">
        <f t="shared" si="0"/>
        <v>26</v>
      </c>
      <c r="C9" s="88">
        <v>14</v>
      </c>
      <c r="D9" s="89">
        <v>22</v>
      </c>
      <c r="E9" s="91">
        <f t="shared" si="1"/>
        <v>9</v>
      </c>
      <c r="F9" s="81">
        <v>34</v>
      </c>
      <c r="G9" s="94">
        <f t="shared" si="3"/>
        <v>5.3092915845667506E-2</v>
      </c>
      <c r="H9" s="95">
        <f t="shared" si="2"/>
        <v>0.74330082183934509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x14ac:dyDescent="0.25">
      <c r="A10" s="7"/>
      <c r="B10" s="91">
        <f t="shared" si="0"/>
        <v>30</v>
      </c>
      <c r="C10" s="90">
        <v>22</v>
      </c>
      <c r="D10" s="89">
        <v>26</v>
      </c>
      <c r="E10" s="91">
        <f t="shared" si="1"/>
        <v>11</v>
      </c>
      <c r="F10" s="81">
        <v>33</v>
      </c>
      <c r="G10" s="94">
        <f t="shared" si="3"/>
        <v>7.0685834705770348E-2</v>
      </c>
      <c r="H10" s="95">
        <f t="shared" si="2"/>
        <v>1.5550883635269477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x14ac:dyDescent="0.25">
      <c r="A11" s="7"/>
      <c r="B11" s="91">
        <f t="shared" si="0"/>
        <v>34</v>
      </c>
      <c r="C11" s="90">
        <v>26</v>
      </c>
      <c r="D11" s="89">
        <v>28</v>
      </c>
      <c r="E11" s="91">
        <f t="shared" si="1"/>
        <v>13</v>
      </c>
      <c r="F11" s="81">
        <v>31</v>
      </c>
      <c r="G11" s="94">
        <f t="shared" si="3"/>
        <v>9.0792027688745017E-2</v>
      </c>
      <c r="H11" s="95">
        <f t="shared" si="2"/>
        <v>2.3605927199073706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x14ac:dyDescent="0.25">
      <c r="A12" s="7"/>
      <c r="B12" s="91">
        <f t="shared" si="0"/>
        <v>38</v>
      </c>
      <c r="C12" s="90">
        <v>38</v>
      </c>
      <c r="D12" s="89">
        <v>29</v>
      </c>
      <c r="E12" s="91">
        <f t="shared" si="1"/>
        <v>15</v>
      </c>
      <c r="F12" s="81">
        <v>29</v>
      </c>
      <c r="G12" s="94">
        <f t="shared" si="3"/>
        <v>0.11341149479459152</v>
      </c>
      <c r="H12" s="95">
        <f t="shared" si="2"/>
        <v>4.3096368021944773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x14ac:dyDescent="0.25">
      <c r="A13" s="7"/>
      <c r="B13" s="91">
        <f t="shared" si="0"/>
        <v>42</v>
      </c>
      <c r="C13" s="90">
        <v>30</v>
      </c>
      <c r="D13" s="89">
        <v>30</v>
      </c>
      <c r="E13" s="91">
        <f t="shared" si="1"/>
        <v>17</v>
      </c>
      <c r="F13" s="81">
        <v>27</v>
      </c>
      <c r="G13" s="94">
        <f t="shared" si="3"/>
        <v>0.13854423602330987</v>
      </c>
      <c r="H13" s="95">
        <f t="shared" si="2"/>
        <v>4.1563270806992962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x14ac:dyDescent="0.25">
      <c r="A14" s="7"/>
      <c r="B14" s="91">
        <f t="shared" si="0"/>
        <v>46</v>
      </c>
      <c r="C14" s="90">
        <v>22</v>
      </c>
      <c r="D14" s="89">
        <v>31</v>
      </c>
      <c r="E14" s="91">
        <f t="shared" si="1"/>
        <v>19</v>
      </c>
      <c r="F14" s="81">
        <v>25</v>
      </c>
      <c r="G14" s="94">
        <f t="shared" si="3"/>
        <v>0.16619025137490004</v>
      </c>
      <c r="H14" s="95">
        <f t="shared" si="2"/>
        <v>3.656185530247801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x14ac:dyDescent="0.25">
      <c r="A15" s="7"/>
      <c r="B15" s="91">
        <f t="shared" si="0"/>
        <v>50</v>
      </c>
      <c r="C15" s="90">
        <v>20</v>
      </c>
      <c r="D15" s="89">
        <v>32</v>
      </c>
      <c r="E15" s="91">
        <f t="shared" si="1"/>
        <v>21</v>
      </c>
      <c r="F15" s="81">
        <v>22</v>
      </c>
      <c r="G15" s="94">
        <f t="shared" si="3"/>
        <v>0.19634954084936207</v>
      </c>
      <c r="H15" s="95">
        <f t="shared" si="2"/>
        <v>3.9269908169872414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x14ac:dyDescent="0.25">
      <c r="A16" s="7"/>
      <c r="B16" s="91">
        <f t="shared" si="0"/>
        <v>54</v>
      </c>
      <c r="C16" s="90">
        <v>14</v>
      </c>
      <c r="D16" s="89">
        <v>34</v>
      </c>
      <c r="E16" s="91">
        <f t="shared" si="1"/>
        <v>23</v>
      </c>
      <c r="F16" s="81">
        <v>19</v>
      </c>
      <c r="G16" s="94">
        <f t="shared" si="3"/>
        <v>0.22902210444669591</v>
      </c>
      <c r="H16" s="95">
        <f t="shared" si="2"/>
        <v>3.2063094622537429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3" x14ac:dyDescent="0.25">
      <c r="A17" s="7"/>
      <c r="B17" s="91">
        <f t="shared" si="0"/>
        <v>58</v>
      </c>
      <c r="C17" s="90">
        <v>8</v>
      </c>
      <c r="D17" s="89">
        <v>34</v>
      </c>
      <c r="E17" s="91">
        <v>25</v>
      </c>
      <c r="F17" s="81">
        <v>15</v>
      </c>
      <c r="G17" s="94">
        <f t="shared" si="3"/>
        <v>0.26420794216690158</v>
      </c>
      <c r="H17" s="95">
        <f t="shared" si="2"/>
        <v>2.1136635373352126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3" x14ac:dyDescent="0.25">
      <c r="A18" s="7"/>
      <c r="B18" s="91">
        <f t="shared" si="0"/>
        <v>62</v>
      </c>
      <c r="C18" s="90">
        <v>2</v>
      </c>
      <c r="D18" s="89">
        <v>32</v>
      </c>
      <c r="E18" s="91">
        <v>27</v>
      </c>
      <c r="F18" s="81">
        <v>9</v>
      </c>
      <c r="G18" s="94">
        <f t="shared" si="3"/>
        <v>0.30190705400997914</v>
      </c>
      <c r="H18" s="95">
        <f t="shared" si="2"/>
        <v>0.60381410801995827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3" x14ac:dyDescent="0.25">
      <c r="A19" s="7"/>
      <c r="B19" s="91">
        <f t="shared" si="0"/>
        <v>66</v>
      </c>
      <c r="C19" s="19"/>
      <c r="D19" s="69"/>
      <c r="E19" s="68">
        <v>29</v>
      </c>
      <c r="F19" s="81">
        <v>3</v>
      </c>
      <c r="G19" s="94"/>
      <c r="H19" s="95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3" x14ac:dyDescent="0.25">
      <c r="A20" s="7"/>
      <c r="B20" s="91">
        <f t="shared" si="0"/>
        <v>70</v>
      </c>
      <c r="C20" s="19"/>
      <c r="D20" s="69"/>
      <c r="E20" s="91">
        <v>29.9</v>
      </c>
      <c r="F20" s="19"/>
      <c r="G20" s="94"/>
      <c r="H20" s="95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3" ht="15.75" thickBot="1" x14ac:dyDescent="0.3">
      <c r="A21" s="7"/>
      <c r="B21" s="92"/>
      <c r="C21" s="82"/>
      <c r="D21" s="70"/>
      <c r="E21" s="32"/>
      <c r="F21" s="82"/>
      <c r="G21" s="96"/>
      <c r="H21" s="9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3" ht="15.75" thickBot="1" x14ac:dyDescent="0.3">
      <c r="B22" s="93" t="s">
        <v>52</v>
      </c>
      <c r="C22" s="100">
        <f>SUM(C5:C21)</f>
        <v>218</v>
      </c>
      <c r="D22" s="86"/>
      <c r="E22" s="87"/>
      <c r="F22" s="85"/>
      <c r="G22" s="98">
        <f>SUM(G5:G14)</f>
        <v>0.69617693203549813</v>
      </c>
      <c r="H22" s="99">
        <f>SUM(H5:H21)</f>
        <v>27.342537501253403</v>
      </c>
    </row>
    <row r="23" spans="1:23" x14ac:dyDescent="0.25">
      <c r="B23" s="7"/>
    </row>
    <row r="24" spans="1:23" ht="18" x14ac:dyDescent="0.35">
      <c r="A24" s="101" t="s">
        <v>55</v>
      </c>
      <c r="B24" s="7">
        <v>40.6</v>
      </c>
      <c r="C24" t="s">
        <v>57</v>
      </c>
    </row>
    <row r="25" spans="1:23" x14ac:dyDescent="0.25">
      <c r="A25" s="101" t="s">
        <v>54</v>
      </c>
      <c r="B25" s="7">
        <v>29.9</v>
      </c>
      <c r="C25" t="s">
        <v>58</v>
      </c>
      <c r="E25" s="103" t="s">
        <v>12</v>
      </c>
      <c r="F25" s="19">
        <f>10</f>
        <v>10</v>
      </c>
      <c r="G25" s="19">
        <f>F25+4</f>
        <v>14</v>
      </c>
      <c r="H25" s="19">
        <f>G25+4</f>
        <v>18</v>
      </c>
      <c r="I25" s="19">
        <f t="shared" ref="I25:S25" si="4">H25+4</f>
        <v>22</v>
      </c>
      <c r="J25" s="19">
        <f t="shared" si="4"/>
        <v>26</v>
      </c>
      <c r="K25" s="19">
        <f t="shared" si="4"/>
        <v>30</v>
      </c>
      <c r="L25" s="19">
        <f t="shared" si="4"/>
        <v>34</v>
      </c>
      <c r="M25" s="19">
        <f t="shared" si="4"/>
        <v>38</v>
      </c>
      <c r="N25" s="19">
        <f t="shared" si="4"/>
        <v>42</v>
      </c>
      <c r="O25" s="19">
        <f t="shared" si="4"/>
        <v>46</v>
      </c>
      <c r="P25" s="19">
        <f t="shared" si="4"/>
        <v>50</v>
      </c>
      <c r="Q25" s="19">
        <f t="shared" si="4"/>
        <v>54</v>
      </c>
      <c r="R25" s="19">
        <f t="shared" si="4"/>
        <v>58</v>
      </c>
      <c r="S25" s="19">
        <f t="shared" si="4"/>
        <v>62</v>
      </c>
      <c r="T25" s="19">
        <f>S25+4</f>
        <v>66</v>
      </c>
      <c r="U25" s="19">
        <f>T25+4</f>
        <v>70</v>
      </c>
      <c r="V25" s="19">
        <f>U25+4</f>
        <v>74</v>
      </c>
      <c r="W25" s="20"/>
    </row>
    <row r="26" spans="1:23" x14ac:dyDescent="0.25">
      <c r="A26" s="102" t="s">
        <v>56</v>
      </c>
      <c r="B26">
        <f>PI()</f>
        <v>3.1415926535897931</v>
      </c>
      <c r="E26" s="103" t="s">
        <v>13</v>
      </c>
      <c r="F26" s="19">
        <f>C5</f>
        <v>0</v>
      </c>
      <c r="G26" s="19">
        <f>C6</f>
        <v>0</v>
      </c>
      <c r="H26" s="19">
        <f>C7</f>
        <v>10</v>
      </c>
      <c r="I26" s="19">
        <f>C8</f>
        <v>12</v>
      </c>
      <c r="J26" s="19">
        <f>$C9</f>
        <v>14</v>
      </c>
      <c r="K26" s="19">
        <f>$C10</f>
        <v>22</v>
      </c>
      <c r="L26" s="19">
        <f>$C11</f>
        <v>26</v>
      </c>
      <c r="M26" s="19">
        <f>$C12</f>
        <v>38</v>
      </c>
      <c r="N26" s="19">
        <f>$C13</f>
        <v>30</v>
      </c>
      <c r="O26" s="19">
        <f>$C14</f>
        <v>22</v>
      </c>
      <c r="P26" s="19">
        <f>$C15</f>
        <v>20</v>
      </c>
      <c r="Q26" s="19">
        <f>C16</f>
        <v>14</v>
      </c>
      <c r="R26" s="19">
        <f t="shared" ref="R26" si="5">$C17</f>
        <v>8</v>
      </c>
      <c r="S26" s="19">
        <f>C18</f>
        <v>2</v>
      </c>
      <c r="T26" s="19" t="s">
        <v>15</v>
      </c>
      <c r="U26" s="19" t="s">
        <v>15</v>
      </c>
      <c r="V26" s="19" t="s">
        <v>15</v>
      </c>
      <c r="W26" s="20">
        <f>SUM(F26:V26)</f>
        <v>218</v>
      </c>
    </row>
    <row r="27" spans="1:23" x14ac:dyDescent="0.25">
      <c r="A27" t="s">
        <v>81</v>
      </c>
      <c r="B27" s="5">
        <f>(B24^2*PI())/40000</f>
        <v>0.12946189166178182</v>
      </c>
      <c r="E27" s="104" t="s">
        <v>14</v>
      </c>
      <c r="F27" s="19">
        <f>D5</f>
        <v>0</v>
      </c>
      <c r="G27" s="19">
        <f>D6</f>
        <v>0</v>
      </c>
      <c r="H27" s="19">
        <f>D7</f>
        <v>18</v>
      </c>
      <c r="I27" s="19">
        <f>D8</f>
        <v>20</v>
      </c>
      <c r="J27" s="19">
        <f>D9</f>
        <v>22</v>
      </c>
      <c r="K27" s="19">
        <f>D10</f>
        <v>26</v>
      </c>
      <c r="L27" s="19">
        <f>D11</f>
        <v>28</v>
      </c>
      <c r="M27" s="19">
        <f>D12</f>
        <v>29</v>
      </c>
      <c r="N27" s="19">
        <f>D13</f>
        <v>30</v>
      </c>
      <c r="O27" s="19">
        <f>D14</f>
        <v>31</v>
      </c>
      <c r="P27" s="19">
        <f>D15</f>
        <v>32</v>
      </c>
      <c r="Q27" s="19">
        <f>D16</f>
        <v>34</v>
      </c>
      <c r="R27" s="19">
        <f>D17</f>
        <v>34</v>
      </c>
      <c r="S27" s="19">
        <f>D18</f>
        <v>32</v>
      </c>
      <c r="T27" s="19" t="s">
        <v>15</v>
      </c>
      <c r="U27" s="19" t="s">
        <v>15</v>
      </c>
      <c r="V27" s="19" t="s">
        <v>15</v>
      </c>
      <c r="W27" s="20"/>
    </row>
    <row r="28" spans="1:23" ht="18" x14ac:dyDescent="0.35">
      <c r="A28" s="101" t="s">
        <v>61</v>
      </c>
      <c r="B28" s="10">
        <f xml:space="preserve"> 11.959*LN(B30)-17.183</f>
        <v>26.920915550129443</v>
      </c>
      <c r="C28" t="s">
        <v>58</v>
      </c>
    </row>
    <row r="29" spans="1:23" ht="18.75" x14ac:dyDescent="0.35">
      <c r="A29" s="101" t="s">
        <v>60</v>
      </c>
      <c r="B29" s="5">
        <f>H22/C22</f>
        <v>0.12542448395070369</v>
      </c>
      <c r="C29" t="s">
        <v>73</v>
      </c>
    </row>
    <row r="30" spans="1:23" ht="18" x14ac:dyDescent="0.35">
      <c r="A30" s="101" t="s">
        <v>59</v>
      </c>
      <c r="B30" s="10">
        <f>SQRT((4*H22)/(B26*C22))*100</f>
        <v>39.961908468444882</v>
      </c>
      <c r="C30" t="s">
        <v>57</v>
      </c>
    </row>
    <row r="31" spans="1:23" ht="18" x14ac:dyDescent="0.35">
      <c r="A31" s="18" t="s">
        <v>62</v>
      </c>
      <c r="B31" s="1">
        <v>2</v>
      </c>
      <c r="C31" t="s">
        <v>58</v>
      </c>
    </row>
    <row r="32" spans="1:23" ht="18" x14ac:dyDescent="0.35">
      <c r="A32" s="18" t="s">
        <v>63</v>
      </c>
      <c r="B32" s="1">
        <f>E20-0.1</f>
        <v>29.799999999999997</v>
      </c>
      <c r="C32" t="s">
        <v>58</v>
      </c>
    </row>
    <row r="33" spans="1:12" ht="18" x14ac:dyDescent="0.35">
      <c r="A33" s="18" t="s">
        <v>64</v>
      </c>
      <c r="B33" s="6">
        <f>TREND(F16:F17,E16:E17,B32)</f>
        <v>5.4000000000000057</v>
      </c>
      <c r="C33" t="s">
        <v>57</v>
      </c>
      <c r="D33">
        <v>1.5699999999999999E-4</v>
      </c>
      <c r="K33" t="s">
        <v>21</v>
      </c>
      <c r="L33" t="e">
        <f>-0.0095*#REF!+1.1099*#REF!+0.5428</f>
        <v>#REF!</v>
      </c>
    </row>
    <row r="34" spans="1:12" ht="18.75" x14ac:dyDescent="0.35">
      <c r="A34" s="18" t="s">
        <v>66</v>
      </c>
      <c r="B34" s="21">
        <f>(PI()*B33^2)/40000</f>
        <v>2.2902210444669638E-3</v>
      </c>
      <c r="C34" t="s">
        <v>72</v>
      </c>
    </row>
    <row r="35" spans="1:12" ht="18" x14ac:dyDescent="0.35">
      <c r="A35" s="18" t="s">
        <v>65</v>
      </c>
      <c r="B35" s="1">
        <f>B25-B32</f>
        <v>0.10000000000000142</v>
      </c>
      <c r="C35" t="s">
        <v>58</v>
      </c>
    </row>
    <row r="36" spans="1:12" ht="18.75" x14ac:dyDescent="0.35">
      <c r="A36" s="18" t="s">
        <v>67</v>
      </c>
      <c r="B36" s="22">
        <f>(B34*B35)/3</f>
        <v>7.6340701482233213E-5</v>
      </c>
      <c r="C36" t="s">
        <v>71</v>
      </c>
    </row>
    <row r="37" spans="1:12" ht="18.75" x14ac:dyDescent="0.35">
      <c r="A37" s="18" t="s">
        <v>69</v>
      </c>
      <c r="B37" s="6">
        <f>((B31*B26)/40000)*(F5^2+F6^2+F7^2+F8^2+F9^2+F10^2+F11^2+F12^2+F13^2+F14^2+F15^2+F16^2+F17^2+F18^2+F19^2)+B36</f>
        <v>1.9395385653951411</v>
      </c>
      <c r="C37" t="s">
        <v>71</v>
      </c>
    </row>
    <row r="38" spans="1:12" ht="17.25" x14ac:dyDescent="0.25">
      <c r="A38" s="18" t="s">
        <v>68</v>
      </c>
      <c r="B38" s="6">
        <f>B37*(H22/G22)</f>
        <v>76.175902301715126</v>
      </c>
      <c r="C38" t="s">
        <v>71</v>
      </c>
      <c r="D38" t="s">
        <v>25</v>
      </c>
      <c r="E38" s="105">
        <f>B37+B36</f>
        <v>1.9396149060966235</v>
      </c>
    </row>
    <row r="39" spans="1:12" ht="18.75" x14ac:dyDescent="0.35">
      <c r="A39" s="106" t="s">
        <v>70</v>
      </c>
      <c r="B39" s="6">
        <f>B37*H22/B27</f>
        <v>409.63333131257895</v>
      </c>
      <c r="C39" t="s">
        <v>71</v>
      </c>
      <c r="D39" t="s">
        <v>26</v>
      </c>
      <c r="E39">
        <f>(E38*H22)/B29</f>
        <v>422.83604952906393</v>
      </c>
    </row>
    <row r="40" spans="1:12" x14ac:dyDescent="0.25">
      <c r="A40" s="18"/>
      <c r="B40" s="5"/>
    </row>
  </sheetData>
  <mergeCells count="9">
    <mergeCell ref="B1:H1"/>
    <mergeCell ref="A1:A2"/>
    <mergeCell ref="B2:B4"/>
    <mergeCell ref="C2:C4"/>
    <mergeCell ref="D2:D4"/>
    <mergeCell ref="E2:E4"/>
    <mergeCell ref="F2:F4"/>
    <mergeCell ref="G2:G4"/>
    <mergeCell ref="H2:H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>
      <selection sqref="A1:B1"/>
    </sheetView>
  </sheetViews>
  <sheetFormatPr defaultRowHeight="15" x14ac:dyDescent="0.25"/>
  <cols>
    <col min="1" max="1" width="9.28515625" customWidth="1"/>
    <col min="9" max="9" width="9.140625" style="10"/>
    <col min="14" max="14" width="9.140625" style="14"/>
    <col min="16" max="16" width="9.5703125" bestFit="1" customWidth="1"/>
  </cols>
  <sheetData>
    <row r="1" spans="1:27" x14ac:dyDescent="0.25">
      <c r="A1" s="146" t="s">
        <v>75</v>
      </c>
      <c r="B1" s="146"/>
    </row>
    <row r="2" spans="1:27" x14ac:dyDescent="0.25">
      <c r="A2" s="146" t="s">
        <v>76</v>
      </c>
      <c r="B2" s="146"/>
      <c r="C2" s="146"/>
      <c r="D2" s="146"/>
      <c r="E2" s="146"/>
      <c r="F2" s="146"/>
      <c r="G2" s="146"/>
      <c r="H2" s="146"/>
      <c r="I2" s="146"/>
      <c r="K2" s="146" t="s">
        <v>78</v>
      </c>
      <c r="L2" s="146"/>
      <c r="M2" s="146"/>
      <c r="N2" s="146"/>
    </row>
    <row r="3" spans="1:27" x14ac:dyDescent="0.25">
      <c r="A3" s="147" t="s">
        <v>77</v>
      </c>
      <c r="B3" s="147"/>
      <c r="C3" s="147"/>
      <c r="D3" s="147"/>
      <c r="E3" s="147"/>
      <c r="F3" s="147"/>
      <c r="G3" s="147"/>
      <c r="H3" s="147"/>
      <c r="I3" s="147"/>
      <c r="K3" s="148" t="s">
        <v>79</v>
      </c>
      <c r="L3" s="148"/>
      <c r="M3" s="148"/>
      <c r="N3" s="148"/>
    </row>
    <row r="4" spans="1:27" ht="31.5" x14ac:dyDescent="0.25">
      <c r="A4" s="19" t="s">
        <v>74</v>
      </c>
      <c r="B4" s="19">
        <v>1</v>
      </c>
      <c r="C4" s="19">
        <v>3</v>
      </c>
      <c r="D4" s="19">
        <v>5</v>
      </c>
      <c r="E4" s="19">
        <v>7</v>
      </c>
      <c r="F4" s="19">
        <v>9</v>
      </c>
      <c r="G4" s="19">
        <v>2</v>
      </c>
      <c r="H4" s="19">
        <v>6</v>
      </c>
      <c r="I4" s="23" t="s">
        <v>2</v>
      </c>
      <c r="J4" s="20"/>
      <c r="K4" s="110" t="s">
        <v>80</v>
      </c>
      <c r="L4" s="111" t="s">
        <v>22</v>
      </c>
      <c r="M4" s="111" t="s">
        <v>23</v>
      </c>
      <c r="N4" s="111" t="s">
        <v>24</v>
      </c>
      <c r="O4" s="20"/>
      <c r="P4" s="109" t="s">
        <v>80</v>
      </c>
      <c r="Q4" s="19">
        <v>10</v>
      </c>
      <c r="R4" s="19">
        <f>Q4+2</f>
        <v>12</v>
      </c>
      <c r="S4" s="19">
        <f t="shared" ref="S4:Z4" si="0">R4+2</f>
        <v>14</v>
      </c>
      <c r="T4" s="19">
        <f t="shared" si="0"/>
        <v>16</v>
      </c>
      <c r="U4" s="19">
        <f t="shared" si="0"/>
        <v>18</v>
      </c>
      <c r="V4" s="19">
        <f t="shared" si="0"/>
        <v>20</v>
      </c>
      <c r="W4" s="19">
        <f t="shared" si="0"/>
        <v>22</v>
      </c>
      <c r="X4" s="19">
        <f t="shared" si="0"/>
        <v>24</v>
      </c>
      <c r="Y4" s="19">
        <f>X4+2</f>
        <v>26</v>
      </c>
      <c r="Z4" s="19">
        <f t="shared" si="0"/>
        <v>28</v>
      </c>
      <c r="AA4" s="19">
        <f>Z4+2</f>
        <v>30</v>
      </c>
    </row>
    <row r="5" spans="1:27" x14ac:dyDescent="0.25">
      <c r="A5" s="19">
        <v>14</v>
      </c>
      <c r="B5" s="23">
        <v>15</v>
      </c>
      <c r="C5" s="23">
        <v>14</v>
      </c>
      <c r="D5" s="23">
        <v>16.3</v>
      </c>
      <c r="E5" s="23">
        <v>17.100000000000001</v>
      </c>
      <c r="F5" s="23">
        <v>17.399999999999999</v>
      </c>
      <c r="G5" s="23">
        <v>14.4</v>
      </c>
      <c r="H5" s="23">
        <v>16.100000000000001</v>
      </c>
      <c r="I5" s="23">
        <f t="shared" ref="I5:I20" si="1">AVERAGE(B5:H5)</f>
        <v>15.757142857142858</v>
      </c>
      <c r="J5" s="20"/>
      <c r="K5" s="19">
        <v>14</v>
      </c>
      <c r="L5" s="23">
        <f>I5</f>
        <v>15.757142857142858</v>
      </c>
      <c r="M5" s="108">
        <f xml:space="preserve"> 7.1228*LN(K5) - 3.8953</f>
        <v>14.902177547383561</v>
      </c>
      <c r="N5" s="107">
        <f>M5/$M$9</f>
        <v>0.73298714965563683</v>
      </c>
      <c r="O5" s="20"/>
      <c r="P5" s="19">
        <f>A5</f>
        <v>14</v>
      </c>
      <c r="Q5" s="23">
        <f t="shared" ref="Q5:Q20" si="2">Q$4*$N5</f>
        <v>7.3298714965563683</v>
      </c>
      <c r="R5" s="23">
        <f t="shared" ref="R5:AA20" si="3">R$4*$N5</f>
        <v>8.7958457958676419</v>
      </c>
      <c r="S5" s="23">
        <f t="shared" si="3"/>
        <v>10.261820095178916</v>
      </c>
      <c r="T5" s="23">
        <f t="shared" si="3"/>
        <v>11.727794394490189</v>
      </c>
      <c r="U5" s="23">
        <f t="shared" si="3"/>
        <v>13.193768693801463</v>
      </c>
      <c r="V5" s="23">
        <f t="shared" si="3"/>
        <v>14.659742993112737</v>
      </c>
      <c r="W5" s="23">
        <f t="shared" si="3"/>
        <v>16.12571729242401</v>
      </c>
      <c r="X5" s="23">
        <f t="shared" si="3"/>
        <v>17.591691591735284</v>
      </c>
      <c r="Y5" s="23">
        <f t="shared" si="3"/>
        <v>19.057665891046558</v>
      </c>
      <c r="Z5" s="23">
        <f t="shared" si="3"/>
        <v>20.523640190357831</v>
      </c>
      <c r="AA5" s="23">
        <f t="shared" si="3"/>
        <v>21.989614489669105</v>
      </c>
    </row>
    <row r="6" spans="1:27" x14ac:dyDescent="0.25">
      <c r="A6" s="19">
        <f>A5+4</f>
        <v>18</v>
      </c>
      <c r="B6" s="23">
        <v>15.9</v>
      </c>
      <c r="C6" s="23">
        <v>15.5</v>
      </c>
      <c r="D6" s="23">
        <v>16.899999999999999</v>
      </c>
      <c r="E6" s="23">
        <v>18</v>
      </c>
      <c r="F6" s="23">
        <v>18</v>
      </c>
      <c r="G6" s="23">
        <v>15.6</v>
      </c>
      <c r="H6" s="23">
        <v>16.5</v>
      </c>
      <c r="I6" s="23">
        <f t="shared" si="1"/>
        <v>16.628571428571426</v>
      </c>
      <c r="J6" s="20"/>
      <c r="K6" s="19">
        <f>K5+4</f>
        <v>18</v>
      </c>
      <c r="L6" s="23">
        <f>I6</f>
        <v>16.628571428571426</v>
      </c>
      <c r="M6" s="108">
        <f t="shared" ref="M6:M20" si="4" xml:space="preserve"> 7.1228*LN(K6) - 3.8953</f>
        <v>16.6922399571428</v>
      </c>
      <c r="N6" s="107">
        <f>M6/$M$9</f>
        <v>0.82103419776408559</v>
      </c>
      <c r="O6" s="20"/>
      <c r="P6" s="19">
        <f t="shared" ref="P6:P20" si="5">A6</f>
        <v>18</v>
      </c>
      <c r="Q6" s="23">
        <f t="shared" si="2"/>
        <v>8.210341977640855</v>
      </c>
      <c r="R6" s="23">
        <f t="shared" ref="R6:S20" si="6">R$4*$N6</f>
        <v>9.8524103731690271</v>
      </c>
      <c r="S6" s="23">
        <f t="shared" si="6"/>
        <v>11.494478768697199</v>
      </c>
      <c r="T6" s="23">
        <f>T$4*$N6</f>
        <v>13.136547164225369</v>
      </c>
      <c r="U6" s="23">
        <f t="shared" ref="U6:U20" si="7">U$4*$N6</f>
        <v>14.77861555975354</v>
      </c>
      <c r="V6" s="23">
        <f t="shared" si="3"/>
        <v>16.42068395528171</v>
      </c>
      <c r="W6" s="23">
        <f t="shared" si="3"/>
        <v>18.062752350809884</v>
      </c>
      <c r="X6" s="23">
        <f t="shared" si="3"/>
        <v>19.704820746338054</v>
      </c>
      <c r="Y6" s="23">
        <f t="shared" si="3"/>
        <v>21.346889141866225</v>
      </c>
      <c r="Z6" s="23">
        <f t="shared" si="3"/>
        <v>22.988957537394398</v>
      </c>
      <c r="AA6" s="23">
        <f t="shared" si="3"/>
        <v>24.631025932922569</v>
      </c>
    </row>
    <row r="7" spans="1:27" x14ac:dyDescent="0.25">
      <c r="A7" s="19">
        <f>A6+4</f>
        <v>22</v>
      </c>
      <c r="B7" s="23">
        <v>17.5</v>
      </c>
      <c r="C7" s="23">
        <v>18.3</v>
      </c>
      <c r="D7" s="23">
        <v>17.5</v>
      </c>
      <c r="E7" s="23">
        <v>18.5</v>
      </c>
      <c r="F7" s="23">
        <v>19.7</v>
      </c>
      <c r="G7" s="23">
        <v>17</v>
      </c>
      <c r="H7" s="23">
        <v>17.2</v>
      </c>
      <c r="I7" s="23">
        <f t="shared" si="1"/>
        <v>17.957142857142859</v>
      </c>
      <c r="J7" s="20"/>
      <c r="K7" s="19">
        <f t="shared" ref="K7:K19" si="8">K6+4</f>
        <v>22</v>
      </c>
      <c r="L7" s="23">
        <f>I7</f>
        <v>17.957142857142859</v>
      </c>
      <c r="M7" s="108">
        <f t="shared" si="4"/>
        <v>18.121577186780613</v>
      </c>
      <c r="N7" s="107">
        <f>M7/$M$9</f>
        <v>0.89133840790502916</v>
      </c>
      <c r="O7" s="20"/>
      <c r="P7" s="19">
        <f t="shared" si="5"/>
        <v>22</v>
      </c>
      <c r="Q7" s="23">
        <f>Q$4*$N7</f>
        <v>8.9133840790502923</v>
      </c>
      <c r="R7" s="23">
        <f t="shared" si="6"/>
        <v>10.69606089486035</v>
      </c>
      <c r="S7" s="23">
        <f t="shared" si="6"/>
        <v>12.478737710670408</v>
      </c>
      <c r="T7" s="23">
        <f>T$4*$N7</f>
        <v>14.261414526480467</v>
      </c>
      <c r="U7" s="23">
        <f t="shared" si="7"/>
        <v>16.044091342290525</v>
      </c>
      <c r="V7" s="23">
        <f t="shared" si="3"/>
        <v>17.826768158100585</v>
      </c>
      <c r="W7" s="23">
        <f t="shared" si="3"/>
        <v>19.609444973910641</v>
      </c>
      <c r="X7" s="23">
        <f t="shared" si="3"/>
        <v>21.392121789720701</v>
      </c>
      <c r="Y7" s="23">
        <f t="shared" si="3"/>
        <v>23.174798605530757</v>
      </c>
      <c r="Z7" s="23">
        <f t="shared" si="3"/>
        <v>24.957475421340817</v>
      </c>
      <c r="AA7" s="23">
        <f t="shared" si="3"/>
        <v>26.740152237150873</v>
      </c>
    </row>
    <row r="8" spans="1:27" x14ac:dyDescent="0.25">
      <c r="A8" s="19">
        <f>A7+4</f>
        <v>26</v>
      </c>
      <c r="B8" s="23">
        <v>18.899999999999999</v>
      </c>
      <c r="C8" s="23">
        <v>19.899999999999999</v>
      </c>
      <c r="D8" s="23">
        <v>17.899999999999999</v>
      </c>
      <c r="E8" s="23">
        <v>18.8</v>
      </c>
      <c r="F8" s="23">
        <v>21</v>
      </c>
      <c r="G8" s="23">
        <v>18.100000000000001</v>
      </c>
      <c r="H8" s="23">
        <v>17.899999999999999</v>
      </c>
      <c r="I8" s="23">
        <f t="shared" si="1"/>
        <v>18.928571428571427</v>
      </c>
      <c r="J8" s="20"/>
      <c r="K8" s="19">
        <f t="shared" si="8"/>
        <v>26</v>
      </c>
      <c r="L8" s="23">
        <f>I8</f>
        <v>18.928571428571427</v>
      </c>
      <c r="M8" s="108">
        <f t="shared" si="4"/>
        <v>19.311470021019414</v>
      </c>
      <c r="N8" s="107">
        <f>M8/$M$9</f>
        <v>0.94986516711127</v>
      </c>
      <c r="O8" s="20"/>
      <c r="P8" s="19">
        <f t="shared" si="5"/>
        <v>26</v>
      </c>
      <c r="Q8" s="23">
        <f t="shared" si="2"/>
        <v>9.4986516711127003</v>
      </c>
      <c r="R8" s="23">
        <f t="shared" si="6"/>
        <v>11.39838200533524</v>
      </c>
      <c r="S8" s="23">
        <f t="shared" si="6"/>
        <v>13.298112339557781</v>
      </c>
      <c r="T8" s="23">
        <f>T$4*$N8</f>
        <v>15.19784267378032</v>
      </c>
      <c r="U8" s="23">
        <f t="shared" si="7"/>
        <v>17.097573008002861</v>
      </c>
      <c r="V8" s="23">
        <f t="shared" si="3"/>
        <v>18.997303342225401</v>
      </c>
      <c r="W8" s="23">
        <f t="shared" si="3"/>
        <v>20.89703367644794</v>
      </c>
      <c r="X8" s="23">
        <f t="shared" si="3"/>
        <v>22.796764010670479</v>
      </c>
      <c r="Y8" s="23">
        <f t="shared" si="3"/>
        <v>24.696494344893019</v>
      </c>
      <c r="Z8" s="23">
        <f t="shared" si="3"/>
        <v>26.596224679115561</v>
      </c>
      <c r="AA8" s="23">
        <f t="shared" si="3"/>
        <v>28.495955013338101</v>
      </c>
    </row>
    <row r="9" spans="1:27" x14ac:dyDescent="0.25">
      <c r="A9" s="19">
        <f>A8+4</f>
        <v>30</v>
      </c>
      <c r="B9" s="23">
        <v>20.5</v>
      </c>
      <c r="C9" s="23">
        <v>21.3</v>
      </c>
      <c r="D9" s="23">
        <v>18.3</v>
      </c>
      <c r="E9" s="23">
        <v>19.100000000000001</v>
      </c>
      <c r="F9" s="23">
        <v>22.3</v>
      </c>
      <c r="G9" s="23">
        <v>19.8</v>
      </c>
      <c r="H9" s="23">
        <v>18.7</v>
      </c>
      <c r="I9" s="23">
        <f t="shared" si="1"/>
        <v>19.999999999999996</v>
      </c>
      <c r="J9" s="20"/>
      <c r="K9" s="19">
        <f t="shared" si="8"/>
        <v>30</v>
      </c>
      <c r="L9" s="23">
        <f>I9</f>
        <v>19.999999999999996</v>
      </c>
      <c r="M9" s="108">
        <f t="shared" si="4"/>
        <v>20.330748710103201</v>
      </c>
      <c r="N9" s="107">
        <f t="shared" ref="N9:N20" si="9">M9/$M$9</f>
        <v>1</v>
      </c>
      <c r="O9" s="20"/>
      <c r="P9" s="19">
        <f t="shared" si="5"/>
        <v>30</v>
      </c>
      <c r="Q9" s="23">
        <f t="shared" si="2"/>
        <v>10</v>
      </c>
      <c r="R9" s="23">
        <f t="shared" si="6"/>
        <v>12</v>
      </c>
      <c r="S9" s="23">
        <f t="shared" si="6"/>
        <v>14</v>
      </c>
      <c r="T9" s="23">
        <f>T$4*$N9</f>
        <v>16</v>
      </c>
      <c r="U9" s="23">
        <f>U$4*$N9</f>
        <v>18</v>
      </c>
      <c r="V9" s="23">
        <f t="shared" si="3"/>
        <v>20</v>
      </c>
      <c r="W9" s="23">
        <f t="shared" si="3"/>
        <v>22</v>
      </c>
      <c r="X9" s="23">
        <f t="shared" si="3"/>
        <v>24</v>
      </c>
      <c r="Y9" s="23">
        <f t="shared" si="3"/>
        <v>26</v>
      </c>
      <c r="Z9" s="23">
        <f t="shared" si="3"/>
        <v>28</v>
      </c>
      <c r="AA9" s="23">
        <f t="shared" si="3"/>
        <v>30</v>
      </c>
    </row>
    <row r="10" spans="1:27" x14ac:dyDescent="0.25">
      <c r="A10" s="19">
        <f>A9+4</f>
        <v>34</v>
      </c>
      <c r="B10" s="23">
        <v>21.3</v>
      </c>
      <c r="C10" s="23">
        <v>22.8</v>
      </c>
      <c r="D10" s="23">
        <v>19</v>
      </c>
      <c r="E10" s="23">
        <v>19.5</v>
      </c>
      <c r="F10" s="23">
        <v>23</v>
      </c>
      <c r="G10" s="23">
        <v>20.5</v>
      </c>
      <c r="H10" s="23">
        <v>20</v>
      </c>
      <c r="I10" s="23">
        <f t="shared" si="1"/>
        <v>20.87142857142857</v>
      </c>
      <c r="J10" s="20"/>
      <c r="K10" s="19">
        <f t="shared" si="8"/>
        <v>34</v>
      </c>
      <c r="L10" s="23">
        <f t="shared" ref="L10:L20" si="10">I10</f>
        <v>20.87142857142857</v>
      </c>
      <c r="M10" s="108">
        <f t="shared" si="4"/>
        <v>21.222260744735998</v>
      </c>
      <c r="N10" s="107">
        <f t="shared" si="9"/>
        <v>1.0438504281049801</v>
      </c>
      <c r="O10" s="20"/>
      <c r="P10" s="19">
        <f t="shared" si="5"/>
        <v>34</v>
      </c>
      <c r="Q10" s="23">
        <f t="shared" si="2"/>
        <v>10.4385042810498</v>
      </c>
      <c r="R10" s="23">
        <f t="shared" si="6"/>
        <v>12.526205137259762</v>
      </c>
      <c r="S10" s="23">
        <f t="shared" si="6"/>
        <v>14.613905993469722</v>
      </c>
      <c r="T10" s="23">
        <f t="shared" ref="T10:T20" si="11">T$4*$N10</f>
        <v>16.701606849679681</v>
      </c>
      <c r="U10" s="23">
        <f t="shared" si="7"/>
        <v>18.789307705889641</v>
      </c>
      <c r="V10" s="23">
        <f t="shared" si="3"/>
        <v>20.877008562099601</v>
      </c>
      <c r="W10" s="23">
        <f t="shared" si="3"/>
        <v>22.96470941830956</v>
      </c>
      <c r="X10" s="23">
        <f t="shared" si="3"/>
        <v>25.052410274519524</v>
      </c>
      <c r="Y10" s="23">
        <f t="shared" si="3"/>
        <v>27.140111130729483</v>
      </c>
      <c r="Z10" s="23">
        <f t="shared" si="3"/>
        <v>29.227811986939443</v>
      </c>
      <c r="AA10" s="23">
        <f t="shared" si="3"/>
        <v>31.315512843149403</v>
      </c>
    </row>
    <row r="11" spans="1:27" x14ac:dyDescent="0.25">
      <c r="A11" s="19">
        <f t="shared" ref="A11:A20" si="12">A10+4</f>
        <v>38</v>
      </c>
      <c r="B11" s="23">
        <v>22.4</v>
      </c>
      <c r="C11" s="23">
        <v>23.5</v>
      </c>
      <c r="D11" s="23">
        <v>19.600000000000001</v>
      </c>
      <c r="E11" s="23">
        <v>20</v>
      </c>
      <c r="F11" s="23">
        <v>23.9</v>
      </c>
      <c r="G11" s="23">
        <v>21.9</v>
      </c>
      <c r="H11" s="23">
        <v>20.6</v>
      </c>
      <c r="I11" s="23">
        <f t="shared" si="1"/>
        <v>21.7</v>
      </c>
      <c r="J11" s="20"/>
      <c r="K11" s="19">
        <f t="shared" si="8"/>
        <v>38</v>
      </c>
      <c r="L11" s="23">
        <f t="shared" si="10"/>
        <v>21.7</v>
      </c>
      <c r="M11" s="108">
        <f t="shared" si="4"/>
        <v>22.0144986984991</v>
      </c>
      <c r="N11" s="107">
        <f t="shared" si="9"/>
        <v>1.0828179036790304</v>
      </c>
      <c r="O11" s="20"/>
      <c r="P11" s="19">
        <f t="shared" si="5"/>
        <v>38</v>
      </c>
      <c r="Q11" s="23">
        <f t="shared" si="2"/>
        <v>10.828179036790305</v>
      </c>
      <c r="R11" s="23">
        <f t="shared" si="6"/>
        <v>12.993814844148364</v>
      </c>
      <c r="S11" s="23">
        <f t="shared" si="6"/>
        <v>15.159450651506425</v>
      </c>
      <c r="T11" s="23">
        <f t="shared" si="11"/>
        <v>17.325086458864487</v>
      </c>
      <c r="U11" s="23">
        <f t="shared" si="7"/>
        <v>19.490722266222548</v>
      </c>
      <c r="V11" s="23">
        <f t="shared" si="3"/>
        <v>21.656358073580609</v>
      </c>
      <c r="W11" s="23">
        <f t="shared" si="3"/>
        <v>23.82199388093867</v>
      </c>
      <c r="X11" s="23">
        <f t="shared" si="3"/>
        <v>25.987629688296728</v>
      </c>
      <c r="Y11" s="23">
        <f t="shared" si="3"/>
        <v>28.153265495654789</v>
      </c>
      <c r="Z11" s="23">
        <f t="shared" si="3"/>
        <v>30.318901303012851</v>
      </c>
      <c r="AA11" s="23">
        <f t="shared" si="3"/>
        <v>32.484537110370916</v>
      </c>
    </row>
    <row r="12" spans="1:27" x14ac:dyDescent="0.25">
      <c r="A12" s="19">
        <f t="shared" si="12"/>
        <v>42</v>
      </c>
      <c r="B12" s="23">
        <v>22.9</v>
      </c>
      <c r="C12" s="23">
        <v>24.2</v>
      </c>
      <c r="D12" s="23">
        <v>20.100000000000001</v>
      </c>
      <c r="E12" s="23">
        <v>20.8</v>
      </c>
      <c r="F12" s="23">
        <v>24.5</v>
      </c>
      <c r="G12" s="23">
        <v>23.2</v>
      </c>
      <c r="H12" s="23">
        <v>21.3</v>
      </c>
      <c r="I12" s="23">
        <f t="shared" si="1"/>
        <v>22.428571428571427</v>
      </c>
      <c r="J12" s="20"/>
      <c r="K12" s="19">
        <f t="shared" si="8"/>
        <v>42</v>
      </c>
      <c r="L12" s="23">
        <f t="shared" si="10"/>
        <v>22.428571428571427</v>
      </c>
      <c r="M12" s="108">
        <f t="shared" si="4"/>
        <v>22.727373157108776</v>
      </c>
      <c r="N12" s="107">
        <f t="shared" si="9"/>
        <v>1.1178817603413982</v>
      </c>
      <c r="O12" s="20"/>
      <c r="P12" s="19">
        <f t="shared" si="5"/>
        <v>42</v>
      </c>
      <c r="Q12" s="23">
        <f t="shared" si="2"/>
        <v>11.178817603413982</v>
      </c>
      <c r="R12" s="23">
        <f t="shared" si="6"/>
        <v>13.414581124096777</v>
      </c>
      <c r="S12" s="23">
        <f t="shared" si="6"/>
        <v>15.650344644779574</v>
      </c>
      <c r="T12" s="23">
        <f t="shared" si="11"/>
        <v>17.886108165462371</v>
      </c>
      <c r="U12" s="23">
        <f t="shared" si="7"/>
        <v>20.121871686145166</v>
      </c>
      <c r="V12" s="23">
        <f t="shared" si="3"/>
        <v>22.357635206827965</v>
      </c>
      <c r="W12" s="23">
        <f t="shared" si="3"/>
        <v>24.59339872751076</v>
      </c>
      <c r="X12" s="23">
        <f t="shared" si="3"/>
        <v>26.829162248193555</v>
      </c>
      <c r="Y12" s="23">
        <f t="shared" si="3"/>
        <v>29.064925768876353</v>
      </c>
      <c r="Z12" s="23">
        <f t="shared" si="3"/>
        <v>31.300689289559148</v>
      </c>
      <c r="AA12" s="23">
        <f t="shared" si="3"/>
        <v>33.536452810241947</v>
      </c>
    </row>
    <row r="13" spans="1:27" x14ac:dyDescent="0.25">
      <c r="A13" s="19">
        <f t="shared" si="12"/>
        <v>46</v>
      </c>
      <c r="B13" s="23">
        <v>23.8</v>
      </c>
      <c r="C13" s="23">
        <v>26</v>
      </c>
      <c r="D13" s="23">
        <v>20.5</v>
      </c>
      <c r="E13" s="23">
        <v>21.5</v>
      </c>
      <c r="F13" s="23">
        <v>25.2</v>
      </c>
      <c r="G13" s="23">
        <v>24.3</v>
      </c>
      <c r="H13" s="23">
        <v>22.2</v>
      </c>
      <c r="I13" s="23">
        <f t="shared" si="1"/>
        <v>23.357142857142858</v>
      </c>
      <c r="J13" s="20"/>
      <c r="K13" s="19">
        <f t="shared" si="8"/>
        <v>46</v>
      </c>
      <c r="L13" s="23">
        <f t="shared" si="10"/>
        <v>23.357142857142858</v>
      </c>
      <c r="M13" s="108">
        <f t="shared" si="4"/>
        <v>23.375346938912525</v>
      </c>
      <c r="N13" s="107">
        <f t="shared" si="9"/>
        <v>1.1497533746652595</v>
      </c>
      <c r="O13" s="20"/>
      <c r="P13" s="19">
        <f t="shared" si="5"/>
        <v>46</v>
      </c>
      <c r="Q13" s="23">
        <f t="shared" si="2"/>
        <v>11.497533746652595</v>
      </c>
      <c r="R13" s="23">
        <f t="shared" si="6"/>
        <v>13.797040495983115</v>
      </c>
      <c r="S13" s="23">
        <f t="shared" si="6"/>
        <v>16.096547245313634</v>
      </c>
      <c r="T13" s="23">
        <f t="shared" si="11"/>
        <v>18.396053994644152</v>
      </c>
      <c r="U13" s="23">
        <f t="shared" si="7"/>
        <v>20.695560743974671</v>
      </c>
      <c r="V13" s="23">
        <f t="shared" si="3"/>
        <v>22.995067493305189</v>
      </c>
      <c r="W13" s="23">
        <f t="shared" si="3"/>
        <v>25.294574242635708</v>
      </c>
      <c r="X13" s="23">
        <f t="shared" si="3"/>
        <v>27.59408099196623</v>
      </c>
      <c r="Y13" s="23">
        <f t="shared" si="3"/>
        <v>29.893587741296749</v>
      </c>
      <c r="Z13" s="23">
        <f t="shared" si="3"/>
        <v>32.193094490627267</v>
      </c>
      <c r="AA13" s="23">
        <f t="shared" si="3"/>
        <v>34.492601239957786</v>
      </c>
    </row>
    <row r="14" spans="1:27" x14ac:dyDescent="0.25">
      <c r="A14" s="19">
        <f t="shared" si="12"/>
        <v>50</v>
      </c>
      <c r="B14" s="23">
        <v>24.5</v>
      </c>
      <c r="C14" s="23">
        <v>26.8</v>
      </c>
      <c r="D14" s="23">
        <v>20.9</v>
      </c>
      <c r="E14" s="23">
        <v>22.2</v>
      </c>
      <c r="F14" s="23">
        <v>26</v>
      </c>
      <c r="G14" s="23">
        <v>25</v>
      </c>
      <c r="H14" s="23">
        <v>23</v>
      </c>
      <c r="I14" s="23">
        <f t="shared" si="1"/>
        <v>24.057142857142853</v>
      </c>
      <c r="J14" s="20"/>
      <c r="K14" s="19">
        <f t="shared" si="8"/>
        <v>50</v>
      </c>
      <c r="L14" s="23">
        <f t="shared" si="10"/>
        <v>24.057142857142853</v>
      </c>
      <c r="M14" s="108">
        <f t="shared" si="4"/>
        <v>23.969257463063599</v>
      </c>
      <c r="N14" s="107">
        <f t="shared" si="9"/>
        <v>1.1789658022359142</v>
      </c>
      <c r="O14" s="20"/>
      <c r="P14" s="19">
        <f t="shared" si="5"/>
        <v>50</v>
      </c>
      <c r="Q14" s="23">
        <f t="shared" si="2"/>
        <v>11.789658022359141</v>
      </c>
      <c r="R14" s="23">
        <f t="shared" si="6"/>
        <v>14.147589626830971</v>
      </c>
      <c r="S14" s="23">
        <f t="shared" si="6"/>
        <v>16.505521231302797</v>
      </c>
      <c r="T14" s="23">
        <f t="shared" si="11"/>
        <v>18.863452835774627</v>
      </c>
      <c r="U14" s="23">
        <f t="shared" si="7"/>
        <v>21.221384440246457</v>
      </c>
      <c r="V14" s="23">
        <f t="shared" si="3"/>
        <v>23.579316044718283</v>
      </c>
      <c r="W14" s="23">
        <f t="shared" si="3"/>
        <v>25.937247649190112</v>
      </c>
      <c r="X14" s="23">
        <f t="shared" si="3"/>
        <v>28.295179253661942</v>
      </c>
      <c r="Y14" s="23">
        <f t="shared" si="3"/>
        <v>30.653110858133768</v>
      </c>
      <c r="Z14" s="23">
        <f t="shared" si="3"/>
        <v>33.011042462605594</v>
      </c>
      <c r="AA14" s="23">
        <f t="shared" si="3"/>
        <v>35.368974067077424</v>
      </c>
    </row>
    <row r="15" spans="1:27" x14ac:dyDescent="0.25">
      <c r="A15" s="19">
        <f t="shared" si="12"/>
        <v>54</v>
      </c>
      <c r="B15" s="23">
        <v>25.3</v>
      </c>
      <c r="C15" s="23">
        <v>27.6</v>
      </c>
      <c r="D15" s="23">
        <v>21.4</v>
      </c>
      <c r="E15" s="23">
        <v>23</v>
      </c>
      <c r="F15" s="23">
        <v>26.6</v>
      </c>
      <c r="G15" s="23">
        <v>25.6</v>
      </c>
      <c r="H15" s="23">
        <v>23.5</v>
      </c>
      <c r="I15" s="23">
        <f t="shared" si="1"/>
        <v>24.714285714285715</v>
      </c>
      <c r="J15" s="20"/>
      <c r="K15" s="19">
        <f t="shared" si="8"/>
        <v>54</v>
      </c>
      <c r="L15" s="23">
        <f t="shared" si="10"/>
        <v>24.714285714285715</v>
      </c>
      <c r="M15" s="108">
        <f t="shared" si="4"/>
        <v>24.517435566868016</v>
      </c>
      <c r="N15" s="107">
        <f>M15/$M$9</f>
        <v>1.205928808449847</v>
      </c>
      <c r="O15" s="20"/>
      <c r="P15" s="19">
        <f t="shared" si="5"/>
        <v>54</v>
      </c>
      <c r="Q15" s="23">
        <f t="shared" si="2"/>
        <v>12.059288084498469</v>
      </c>
      <c r="R15" s="23">
        <f t="shared" si="6"/>
        <v>14.471145701398164</v>
      </c>
      <c r="S15" s="23">
        <f t="shared" si="6"/>
        <v>16.883003318297856</v>
      </c>
      <c r="T15" s="23">
        <f>T$4*$N15</f>
        <v>19.294860935197551</v>
      </c>
      <c r="U15" s="23">
        <f t="shared" si="7"/>
        <v>21.706718552097247</v>
      </c>
      <c r="V15" s="23">
        <f t="shared" si="3"/>
        <v>24.118576168996938</v>
      </c>
      <c r="W15" s="23">
        <f t="shared" si="3"/>
        <v>26.530433785896633</v>
      </c>
      <c r="X15" s="23">
        <f t="shared" si="3"/>
        <v>28.942291402796329</v>
      </c>
      <c r="Y15" s="23">
        <f t="shared" si="3"/>
        <v>31.35414901969602</v>
      </c>
      <c r="Z15" s="23">
        <f t="shared" si="3"/>
        <v>33.766006636595712</v>
      </c>
      <c r="AA15" s="23">
        <f t="shared" si="3"/>
        <v>36.177864253495407</v>
      </c>
    </row>
    <row r="16" spans="1:27" x14ac:dyDescent="0.25">
      <c r="A16" s="19">
        <f t="shared" si="12"/>
        <v>58</v>
      </c>
      <c r="B16" s="23">
        <v>26.4</v>
      </c>
      <c r="C16" s="23">
        <v>28</v>
      </c>
      <c r="D16" s="23">
        <v>21.8</v>
      </c>
      <c r="E16" s="23">
        <v>23.7</v>
      </c>
      <c r="F16" s="23">
        <v>27</v>
      </c>
      <c r="G16" s="23">
        <v>26.1</v>
      </c>
      <c r="H16" s="23">
        <v>24</v>
      </c>
      <c r="I16" s="23">
        <f t="shared" si="1"/>
        <v>25.285714285714285</v>
      </c>
      <c r="J16" s="20"/>
      <c r="K16" s="19">
        <f t="shared" si="8"/>
        <v>58</v>
      </c>
      <c r="L16" s="23">
        <f t="shared" si="10"/>
        <v>25.285714285714285</v>
      </c>
      <c r="M16" s="108">
        <f t="shared" si="4"/>
        <v>25.026423475520033</v>
      </c>
      <c r="N16" s="107">
        <f t="shared" si="9"/>
        <v>1.2309641829906321</v>
      </c>
      <c r="O16" s="20"/>
      <c r="P16" s="19">
        <f t="shared" si="5"/>
        <v>58</v>
      </c>
      <c r="Q16" s="23">
        <f t="shared" si="2"/>
        <v>12.309641829906322</v>
      </c>
      <c r="R16" s="23">
        <f t="shared" si="6"/>
        <v>14.771570195887586</v>
      </c>
      <c r="S16" s="23">
        <f t="shared" si="6"/>
        <v>17.233498561868849</v>
      </c>
      <c r="T16" s="23">
        <f t="shared" si="11"/>
        <v>19.695426927850114</v>
      </c>
      <c r="U16" s="23">
        <f t="shared" si="7"/>
        <v>22.15735529383138</v>
      </c>
      <c r="V16" s="23">
        <f t="shared" si="3"/>
        <v>24.619283659812645</v>
      </c>
      <c r="W16" s="23">
        <f t="shared" si="3"/>
        <v>27.081212025793906</v>
      </c>
      <c r="X16" s="23">
        <f t="shared" si="3"/>
        <v>29.543140391775172</v>
      </c>
      <c r="Y16" s="23">
        <f t="shared" si="3"/>
        <v>32.005068757756433</v>
      </c>
      <c r="Z16" s="23">
        <f t="shared" si="3"/>
        <v>34.466997123737698</v>
      </c>
      <c r="AA16" s="23">
        <f t="shared" si="3"/>
        <v>36.928925489718964</v>
      </c>
    </row>
    <row r="17" spans="1:27" x14ac:dyDescent="0.25">
      <c r="A17" s="19">
        <f t="shared" si="12"/>
        <v>62</v>
      </c>
      <c r="B17" s="23">
        <v>27</v>
      </c>
      <c r="C17" s="23">
        <v>28.5</v>
      </c>
      <c r="D17" s="23">
        <v>22.2</v>
      </c>
      <c r="E17" s="23">
        <v>24.2</v>
      </c>
      <c r="F17" s="23">
        <v>27.3</v>
      </c>
      <c r="G17" s="23">
        <v>26.5</v>
      </c>
      <c r="H17" s="23">
        <v>24.4</v>
      </c>
      <c r="I17" s="23">
        <f t="shared" si="1"/>
        <v>25.728571428571431</v>
      </c>
      <c r="J17" s="20"/>
      <c r="K17" s="19">
        <f>K16+4</f>
        <v>62</v>
      </c>
      <c r="L17" s="23">
        <f t="shared" si="10"/>
        <v>25.728571428571431</v>
      </c>
      <c r="M17" s="108">
        <f t="shared" si="4"/>
        <v>25.501452797799178</v>
      </c>
      <c r="N17" s="107">
        <f t="shared" si="9"/>
        <v>1.2543292508025756</v>
      </c>
      <c r="O17" s="20"/>
      <c r="P17" s="19">
        <f t="shared" si="5"/>
        <v>62</v>
      </c>
      <c r="Q17" s="23">
        <f t="shared" si="2"/>
        <v>12.543292508025756</v>
      </c>
      <c r="R17" s="23">
        <f t="shared" si="6"/>
        <v>15.051951009630908</v>
      </c>
      <c r="S17" s="23">
        <f t="shared" si="6"/>
        <v>17.560609511236059</v>
      </c>
      <c r="T17" s="23">
        <f t="shared" si="11"/>
        <v>20.06926801284121</v>
      </c>
      <c r="U17" s="23">
        <f t="shared" si="7"/>
        <v>22.577926514446361</v>
      </c>
      <c r="V17" s="23">
        <f t="shared" si="3"/>
        <v>25.086585016051512</v>
      </c>
      <c r="W17" s="23">
        <f t="shared" si="3"/>
        <v>27.595243517656662</v>
      </c>
      <c r="X17" s="23">
        <f t="shared" si="3"/>
        <v>30.103902019261817</v>
      </c>
      <c r="Y17" s="23">
        <f t="shared" si="3"/>
        <v>32.612560520866964</v>
      </c>
      <c r="Z17" s="23">
        <f t="shared" si="3"/>
        <v>35.121219022472118</v>
      </c>
      <c r="AA17" s="23">
        <f t="shared" si="3"/>
        <v>37.629877524077266</v>
      </c>
    </row>
    <row r="18" spans="1:27" x14ac:dyDescent="0.25">
      <c r="A18" s="19">
        <f t="shared" si="12"/>
        <v>66</v>
      </c>
      <c r="B18" s="23">
        <v>27.5</v>
      </c>
      <c r="C18" s="23">
        <v>29</v>
      </c>
      <c r="D18" s="23">
        <v>22.5</v>
      </c>
      <c r="E18" s="23">
        <v>24.6</v>
      </c>
      <c r="F18" s="23">
        <v>27.6</v>
      </c>
      <c r="G18" s="23">
        <v>26.8</v>
      </c>
      <c r="H18" s="23">
        <v>24.8</v>
      </c>
      <c r="I18" s="23">
        <f t="shared" si="1"/>
        <v>26.114285714285717</v>
      </c>
      <c r="J18" s="20"/>
      <c r="K18" s="19">
        <f t="shared" si="8"/>
        <v>66</v>
      </c>
      <c r="L18" s="23">
        <f t="shared" si="10"/>
        <v>26.114285714285717</v>
      </c>
      <c r="M18" s="108">
        <f t="shared" si="4"/>
        <v>25.946772796505822</v>
      </c>
      <c r="N18" s="107">
        <f t="shared" si="9"/>
        <v>1.2762330185907902</v>
      </c>
      <c r="O18" s="20"/>
      <c r="P18" s="19">
        <f t="shared" si="5"/>
        <v>66</v>
      </c>
      <c r="Q18" s="23">
        <f t="shared" si="2"/>
        <v>12.762330185907903</v>
      </c>
      <c r="R18" s="23">
        <f t="shared" si="6"/>
        <v>15.314796223089482</v>
      </c>
      <c r="S18" s="23">
        <f t="shared" si="6"/>
        <v>17.867262260271062</v>
      </c>
      <c r="T18" s="23">
        <f t="shared" si="11"/>
        <v>20.419728297452643</v>
      </c>
      <c r="U18" s="23">
        <f t="shared" si="7"/>
        <v>22.972194334634224</v>
      </c>
      <c r="V18" s="23">
        <f t="shared" si="3"/>
        <v>25.524660371815806</v>
      </c>
      <c r="W18" s="23">
        <f t="shared" si="3"/>
        <v>28.077126408997383</v>
      </c>
      <c r="X18" s="23">
        <f t="shared" si="3"/>
        <v>30.629592446178965</v>
      </c>
      <c r="Y18" s="23">
        <f t="shared" si="3"/>
        <v>33.182058483360542</v>
      </c>
      <c r="Z18" s="23">
        <f t="shared" si="3"/>
        <v>35.734524520542124</v>
      </c>
      <c r="AA18" s="23">
        <f t="shared" si="3"/>
        <v>38.286990557723705</v>
      </c>
    </row>
    <row r="19" spans="1:27" x14ac:dyDescent="0.25">
      <c r="A19" s="19">
        <f t="shared" si="12"/>
        <v>70</v>
      </c>
      <c r="B19" s="23">
        <v>28</v>
      </c>
      <c r="C19" s="23">
        <v>29.4</v>
      </c>
      <c r="D19" s="23">
        <v>22.8</v>
      </c>
      <c r="E19" s="23">
        <v>25</v>
      </c>
      <c r="F19" s="23">
        <v>28</v>
      </c>
      <c r="G19" s="23">
        <v>27</v>
      </c>
      <c r="H19" s="23">
        <v>25.1</v>
      </c>
      <c r="I19" s="23">
        <f t="shared" si="1"/>
        <v>26.471428571428568</v>
      </c>
      <c r="J19" s="20"/>
      <c r="K19" s="19">
        <f t="shared" si="8"/>
        <v>70</v>
      </c>
      <c r="L19" s="23">
        <f t="shared" si="10"/>
        <v>26.471428571428568</v>
      </c>
      <c r="M19" s="108">
        <f t="shared" si="4"/>
        <v>26.365881910069177</v>
      </c>
      <c r="N19" s="107">
        <f t="shared" si="9"/>
        <v>1.2968475625773126</v>
      </c>
      <c r="O19" s="20"/>
      <c r="P19" s="19">
        <f t="shared" si="5"/>
        <v>70</v>
      </c>
      <c r="Q19" s="23">
        <f t="shared" si="2"/>
        <v>12.968475625773126</v>
      </c>
      <c r="R19" s="23">
        <f t="shared" si="6"/>
        <v>15.562170750927752</v>
      </c>
      <c r="S19" s="23">
        <f t="shared" si="6"/>
        <v>18.155865876082377</v>
      </c>
      <c r="T19" s="23">
        <f t="shared" si="11"/>
        <v>20.749561001237002</v>
      </c>
      <c r="U19" s="23">
        <f t="shared" si="7"/>
        <v>23.343256126391626</v>
      </c>
      <c r="V19" s="23">
        <f t="shared" si="3"/>
        <v>25.936951251546251</v>
      </c>
      <c r="W19" s="23">
        <f t="shared" si="3"/>
        <v>28.530646376700876</v>
      </c>
      <c r="X19" s="23">
        <f t="shared" si="3"/>
        <v>31.124341501855504</v>
      </c>
      <c r="Y19" s="23">
        <f t="shared" si="3"/>
        <v>33.718036627010129</v>
      </c>
      <c r="Z19" s="23">
        <f t="shared" si="3"/>
        <v>36.311731752164754</v>
      </c>
      <c r="AA19" s="23">
        <f t="shared" si="3"/>
        <v>38.905426877319378</v>
      </c>
    </row>
    <row r="20" spans="1:27" x14ac:dyDescent="0.25">
      <c r="A20" s="19">
        <f t="shared" si="12"/>
        <v>74</v>
      </c>
      <c r="B20" s="23">
        <v>28.4</v>
      </c>
      <c r="C20" s="23">
        <v>29.7</v>
      </c>
      <c r="D20" s="23">
        <v>23.2</v>
      </c>
      <c r="E20" s="23">
        <v>25.5</v>
      </c>
      <c r="F20" s="23">
        <v>28.2</v>
      </c>
      <c r="G20" s="23">
        <v>27.2</v>
      </c>
      <c r="H20" s="23">
        <v>25.3</v>
      </c>
      <c r="I20" s="23">
        <f t="shared" si="1"/>
        <v>26.785714285714285</v>
      </c>
      <c r="J20" s="20"/>
      <c r="K20" s="19">
        <f>K19+4</f>
        <v>74</v>
      </c>
      <c r="L20" s="23">
        <f t="shared" si="10"/>
        <v>26.785714285714285</v>
      </c>
      <c r="M20" s="108">
        <f t="shared" si="4"/>
        <v>26.761694845874665</v>
      </c>
      <c r="N20" s="107">
        <f t="shared" si="9"/>
        <v>1.3163162472504348</v>
      </c>
      <c r="O20" s="20"/>
      <c r="P20" s="19">
        <f t="shared" si="5"/>
        <v>74</v>
      </c>
      <c r="Q20" s="23">
        <f t="shared" si="2"/>
        <v>13.163162472504348</v>
      </c>
      <c r="R20" s="23">
        <f t="shared" si="6"/>
        <v>15.795794967005218</v>
      </c>
      <c r="S20" s="23">
        <f t="shared" si="6"/>
        <v>18.428427461506089</v>
      </c>
      <c r="T20" s="23">
        <f t="shared" si="11"/>
        <v>21.061059956006957</v>
      </c>
      <c r="U20" s="23">
        <f t="shared" si="7"/>
        <v>23.693692450507825</v>
      </c>
      <c r="V20" s="23">
        <f t="shared" si="3"/>
        <v>26.326324945008697</v>
      </c>
      <c r="W20" s="23">
        <f t="shared" si="3"/>
        <v>28.958957439509568</v>
      </c>
      <c r="X20" s="23">
        <f t="shared" si="3"/>
        <v>31.591589934010436</v>
      </c>
      <c r="Y20" s="23">
        <f t="shared" si="3"/>
        <v>34.224222428511304</v>
      </c>
      <c r="Z20" s="23">
        <f t="shared" si="3"/>
        <v>36.856854923012179</v>
      </c>
      <c r="AA20" s="23">
        <f t="shared" si="3"/>
        <v>39.489487417513047</v>
      </c>
    </row>
    <row r="21" spans="1:27" x14ac:dyDescent="0.25">
      <c r="R21" s="7"/>
      <c r="S21" s="16"/>
      <c r="T21" s="17"/>
      <c r="U21" s="16"/>
    </row>
    <row r="24" spans="1:27" x14ac:dyDescent="0.25">
      <c r="O24" s="1" t="s">
        <v>1</v>
      </c>
      <c r="P24" s="1" t="s">
        <v>16</v>
      </c>
      <c r="Q24" s="1" t="s">
        <v>17</v>
      </c>
      <c r="R24" s="1" t="s">
        <v>18</v>
      </c>
      <c r="S24" s="1" t="s">
        <v>19</v>
      </c>
      <c r="U24" s="1" t="s">
        <v>17</v>
      </c>
      <c r="V24" s="1" t="s">
        <v>18</v>
      </c>
    </row>
    <row r="25" spans="1:27" x14ac:dyDescent="0.25">
      <c r="O25" s="1">
        <v>14</v>
      </c>
      <c r="P25" s="6">
        <f>$P$43*O25^2/40000</f>
        <v>1.5393804002589986E-2</v>
      </c>
      <c r="Q25" s="11">
        <f t="shared" ref="Q25:Q40" si="13">T5</f>
        <v>11.727794394490189</v>
      </c>
      <c r="R25" s="24">
        <f>TREND(V26:V27,U26:U27,Q25)</f>
        <v>0.51008308408264724</v>
      </c>
      <c r="S25" s="6">
        <f>P25*Q25*R25</f>
        <v>9.2088037444102169E-2</v>
      </c>
      <c r="U25" s="15">
        <v>10</v>
      </c>
      <c r="V25" s="1">
        <v>0.53100000000000003</v>
      </c>
    </row>
    <row r="26" spans="1:27" x14ac:dyDescent="0.25">
      <c r="O26" s="1">
        <f>O25+4</f>
        <v>18</v>
      </c>
      <c r="P26" s="6">
        <f>$P$43*O26^2/40000</f>
        <v>2.5446900494077322E-2</v>
      </c>
      <c r="Q26" s="11">
        <f t="shared" si="13"/>
        <v>13.136547164225369</v>
      </c>
      <c r="R26" s="24">
        <f>TREND(V28:V29,U28:U29,Q26)</f>
        <v>0.50459035850732403</v>
      </c>
      <c r="S26" s="6">
        <f t="shared" ref="S26:S40" si="14">P26*Q26*R26</f>
        <v>0.1686766895404313</v>
      </c>
      <c r="T26">
        <v>90</v>
      </c>
      <c r="U26" s="15">
        <f>U25+1</f>
        <v>11</v>
      </c>
      <c r="V26" s="1">
        <v>0.52100000000000002</v>
      </c>
      <c r="W26">
        <f t="shared" ref="W26:W35" si="15">T26*P25</f>
        <v>1.3854423602330987</v>
      </c>
    </row>
    <row r="27" spans="1:27" x14ac:dyDescent="0.25">
      <c r="O27" s="1">
        <f t="shared" ref="O27:O40" si="16">O26+4</f>
        <v>22</v>
      </c>
      <c r="P27" s="6">
        <f>$P$43*O27^2/40000</f>
        <v>3.8013271108436497E-2</v>
      </c>
      <c r="Q27" s="11">
        <f t="shared" si="13"/>
        <v>14.261414526480467</v>
      </c>
      <c r="R27" s="24">
        <f>TREND(V29:V30,U29:U30,Q27)</f>
        <v>0.50173858547351968</v>
      </c>
      <c r="S27" s="6">
        <f t="shared" si="14"/>
        <v>0.27200403559429115</v>
      </c>
      <c r="T27">
        <v>292</v>
      </c>
      <c r="U27" s="15">
        <f t="shared" ref="U27:U40" si="17">U26+1</f>
        <v>12</v>
      </c>
      <c r="V27" s="1">
        <v>0.50600000000000001</v>
      </c>
      <c r="W27">
        <f t="shared" si="15"/>
        <v>7.4304949442705777</v>
      </c>
    </row>
    <row r="28" spans="1:27" x14ac:dyDescent="0.25">
      <c r="O28" s="1">
        <f t="shared" si="16"/>
        <v>26</v>
      </c>
      <c r="P28" s="6">
        <f t="shared" ref="P28:P30" si="18">$P$43*O28^2/40000</f>
        <v>5.3092915845667506E-2</v>
      </c>
      <c r="Q28" s="11">
        <f t="shared" si="13"/>
        <v>15.19784267378032</v>
      </c>
      <c r="R28" s="24">
        <f>TREND(V30:V31,U30:U31,Q28)</f>
        <v>0.50040647197865906</v>
      </c>
      <c r="S28" s="6">
        <f t="shared" si="14"/>
        <v>0.40377687239542825</v>
      </c>
      <c r="T28">
        <v>453</v>
      </c>
      <c r="U28" s="15">
        <f t="shared" si="17"/>
        <v>13</v>
      </c>
      <c r="V28" s="1">
        <v>0.505</v>
      </c>
      <c r="W28">
        <f t="shared" si="15"/>
        <v>17.220011812121733</v>
      </c>
    </row>
    <row r="29" spans="1:27" x14ac:dyDescent="0.25">
      <c r="O29" s="1">
        <f t="shared" si="16"/>
        <v>30</v>
      </c>
      <c r="P29" s="6">
        <f>$P$43*O29^2/40000</f>
        <v>7.0685834705770348E-2</v>
      </c>
      <c r="Q29" s="11">
        <f t="shared" si="13"/>
        <v>16</v>
      </c>
      <c r="R29" s="24">
        <f>TREND(V31,U31,Q29)</f>
        <v>0.498</v>
      </c>
      <c r="S29" s="6">
        <f t="shared" si="14"/>
        <v>0.56322473093557812</v>
      </c>
      <c r="T29">
        <v>393</v>
      </c>
      <c r="U29" s="15">
        <f t="shared" si="17"/>
        <v>14</v>
      </c>
      <c r="V29" s="1">
        <v>0.502</v>
      </c>
      <c r="W29">
        <f t="shared" si="15"/>
        <v>20.865515927347328</v>
      </c>
    </row>
    <row r="30" spans="1:27" x14ac:dyDescent="0.25">
      <c r="O30" s="1">
        <f t="shared" si="16"/>
        <v>34</v>
      </c>
      <c r="P30" s="6">
        <f t="shared" si="18"/>
        <v>9.0792027688745017E-2</v>
      </c>
      <c r="Q30" s="11">
        <f t="shared" si="13"/>
        <v>16.701606849679681</v>
      </c>
      <c r="R30" s="24">
        <f>TREND(V31:V32,U31:U32,Q30)</f>
        <v>0.49098393150320319</v>
      </c>
      <c r="S30" s="6">
        <f t="shared" si="14"/>
        <v>0.74451465517674076</v>
      </c>
      <c r="T30">
        <v>205</v>
      </c>
      <c r="U30" s="15">
        <f t="shared" si="17"/>
        <v>15</v>
      </c>
      <c r="V30" s="1">
        <v>0.501</v>
      </c>
      <c r="W30">
        <f t="shared" si="15"/>
        <v>14.490596114682921</v>
      </c>
    </row>
    <row r="31" spans="1:27" x14ac:dyDescent="0.25">
      <c r="O31" s="1">
        <f t="shared" si="16"/>
        <v>38</v>
      </c>
      <c r="P31" s="6">
        <f t="shared" ref="P31:P40" si="19">$P$43*O31^2/40000</f>
        <v>0.11341149479459152</v>
      </c>
      <c r="Q31" s="11">
        <f t="shared" si="13"/>
        <v>17.325086458864487</v>
      </c>
      <c r="R31" s="24">
        <f>TREND(V32:V33,U32:U33,Q31)</f>
        <v>0.48734982708227098</v>
      </c>
      <c r="S31" s="6">
        <f t="shared" si="14"/>
        <v>0.95757610761063761</v>
      </c>
      <c r="T31">
        <v>60</v>
      </c>
      <c r="U31" s="15">
        <f t="shared" si="17"/>
        <v>16</v>
      </c>
      <c r="V31" s="1">
        <v>0.498</v>
      </c>
      <c r="W31">
        <f t="shared" si="15"/>
        <v>5.4475216613247008</v>
      </c>
    </row>
    <row r="32" spans="1:27" x14ac:dyDescent="0.25">
      <c r="O32" s="1">
        <f t="shared" si="16"/>
        <v>42</v>
      </c>
      <c r="P32" s="6">
        <f t="shared" si="19"/>
        <v>0.13854423602330987</v>
      </c>
      <c r="Q32" s="11">
        <f t="shared" si="13"/>
        <v>17.886108165462371</v>
      </c>
      <c r="R32" s="24">
        <f>TREND(V32:V33,U32:U33,Q32)</f>
        <v>0.48622778366907521</v>
      </c>
      <c r="S32" s="6">
        <f t="shared" si="14"/>
        <v>1.2048808067779808</v>
      </c>
      <c r="T32">
        <v>18</v>
      </c>
      <c r="U32" s="15">
        <f t="shared" si="17"/>
        <v>17</v>
      </c>
      <c r="V32" s="1">
        <v>0.48799999999999999</v>
      </c>
      <c r="W32">
        <f t="shared" si="15"/>
        <v>2.0414069063026474</v>
      </c>
    </row>
    <row r="33" spans="15:23" x14ac:dyDescent="0.25">
      <c r="O33" s="1">
        <f t="shared" si="16"/>
        <v>46</v>
      </c>
      <c r="P33" s="6">
        <f t="shared" si="19"/>
        <v>0.16619025137490004</v>
      </c>
      <c r="Q33" s="11">
        <f t="shared" si="13"/>
        <v>18.396053994644152</v>
      </c>
      <c r="R33" s="24">
        <f>TREND(V33:V34,U33:U34,Q33)</f>
        <v>0.48283156804284671</v>
      </c>
      <c r="S33" s="6">
        <f t="shared" si="14"/>
        <v>1.4761343188660718</v>
      </c>
      <c r="T33">
        <v>9</v>
      </c>
      <c r="U33" s="15">
        <f t="shared" si="17"/>
        <v>18</v>
      </c>
      <c r="V33" s="1">
        <v>0.48599999999999999</v>
      </c>
      <c r="W33">
        <f t="shared" si="15"/>
        <v>1.2468981242097887</v>
      </c>
    </row>
    <row r="34" spans="15:23" x14ac:dyDescent="0.25">
      <c r="O34" s="1">
        <f t="shared" si="16"/>
        <v>50</v>
      </c>
      <c r="P34" s="6">
        <f t="shared" si="19"/>
        <v>0.19634954084936207</v>
      </c>
      <c r="Q34" s="11">
        <f t="shared" si="13"/>
        <v>18.863452835774627</v>
      </c>
      <c r="R34" s="24">
        <f>TREND(V33:V34,U33:U34,Q34)</f>
        <v>0.47909237731380294</v>
      </c>
      <c r="S34" s="6">
        <f t="shared" si="14"/>
        <v>1.7744768650972615</v>
      </c>
      <c r="T34">
        <v>6</v>
      </c>
      <c r="U34" s="15">
        <f t="shared" si="17"/>
        <v>19</v>
      </c>
      <c r="V34" s="1">
        <v>0.47799999999999998</v>
      </c>
      <c r="W34">
        <f t="shared" si="15"/>
        <v>0.99714150824940018</v>
      </c>
    </row>
    <row r="35" spans="15:23" x14ac:dyDescent="0.25">
      <c r="O35" s="1">
        <f t="shared" si="16"/>
        <v>54</v>
      </c>
      <c r="P35" s="6">
        <f t="shared" si="19"/>
        <v>0.22902210444669591</v>
      </c>
      <c r="Q35" s="11">
        <f t="shared" si="13"/>
        <v>19.294860935197551</v>
      </c>
      <c r="R35" s="24">
        <f>TREND(V34:V35,U34:U35,Q35)</f>
        <v>0.47623083438881469</v>
      </c>
      <c r="S35" s="6">
        <f t="shared" si="14"/>
        <v>2.1044400819825309</v>
      </c>
      <c r="T35">
        <v>2</v>
      </c>
      <c r="U35" s="15">
        <f t="shared" si="17"/>
        <v>20</v>
      </c>
      <c r="V35" s="1">
        <v>0.47199999999999998</v>
      </c>
      <c r="W35">
        <f t="shared" si="15"/>
        <v>0.39269908169872414</v>
      </c>
    </row>
    <row r="36" spans="15:23" x14ac:dyDescent="0.25">
      <c r="O36" s="1">
        <f t="shared" si="16"/>
        <v>58</v>
      </c>
      <c r="P36" s="6">
        <f t="shared" si="19"/>
        <v>0.26420794216690158</v>
      </c>
      <c r="Q36" s="11">
        <f t="shared" si="13"/>
        <v>19.695426927850114</v>
      </c>
      <c r="R36" s="24">
        <f>TREND(V34:V35,U34:U35,Q36)</f>
        <v>0.47382743843289932</v>
      </c>
      <c r="S36" s="6">
        <f t="shared" si="14"/>
        <v>2.465650259072854</v>
      </c>
      <c r="U36" s="15">
        <f>U35+1</f>
        <v>21</v>
      </c>
      <c r="V36" s="1">
        <v>0.46899999999999997</v>
      </c>
      <c r="W36">
        <f>SUM(W26:W35)</f>
        <v>71.517728440440933</v>
      </c>
    </row>
    <row r="37" spans="15:23" x14ac:dyDescent="0.25">
      <c r="O37" s="1">
        <f t="shared" si="16"/>
        <v>62</v>
      </c>
      <c r="P37" s="6">
        <f t="shared" si="19"/>
        <v>0.30190705400997914</v>
      </c>
      <c r="Q37" s="11">
        <f t="shared" si="13"/>
        <v>20.06926801284121</v>
      </c>
      <c r="R37" s="24">
        <f>TREND(V35:V36,U35:U36,Q37)</f>
        <v>0.47179219596147631</v>
      </c>
      <c r="S37" s="6">
        <f t="shared" si="14"/>
        <v>2.8586141948498294</v>
      </c>
      <c r="U37" s="15">
        <f t="shared" si="17"/>
        <v>22</v>
      </c>
      <c r="V37" s="1">
        <v>0.45700000000000002</v>
      </c>
    </row>
    <row r="38" spans="15:23" x14ac:dyDescent="0.25">
      <c r="O38" s="1">
        <f t="shared" si="16"/>
        <v>66</v>
      </c>
      <c r="P38" s="6">
        <f t="shared" si="19"/>
        <v>0.34211943997592847</v>
      </c>
      <c r="Q38" s="11">
        <f t="shared" si="13"/>
        <v>20.419728297452643</v>
      </c>
      <c r="R38" s="24">
        <f>TREND(V35:V36,U35:U36,Q38)</f>
        <v>0.47074081510764199</v>
      </c>
      <c r="S38" s="6">
        <f t="shared" si="14"/>
        <v>3.2885887484826819</v>
      </c>
      <c r="U38" s="15">
        <f t="shared" si="17"/>
        <v>23</v>
      </c>
      <c r="V38" s="1">
        <v>0.44600000000000001</v>
      </c>
    </row>
    <row r="39" spans="15:23" x14ac:dyDescent="0.25">
      <c r="O39" s="1">
        <f t="shared" si="16"/>
        <v>70</v>
      </c>
      <c r="P39" s="6">
        <f t="shared" si="19"/>
        <v>0.38484510006474965</v>
      </c>
      <c r="Q39" s="11">
        <f t="shared" si="13"/>
        <v>20.749561001237002</v>
      </c>
      <c r="R39" s="24">
        <f>TREND(V35:V36,U35:U36,Q39)</f>
        <v>0.46975131699628891</v>
      </c>
      <c r="S39" s="6">
        <f t="shared" si="14"/>
        <v>3.7511366084943107</v>
      </c>
      <c r="U39" s="15">
        <f>U38+1</f>
        <v>24</v>
      </c>
      <c r="V39" s="1">
        <v>0.42499999999999999</v>
      </c>
    </row>
    <row r="40" spans="15:23" x14ac:dyDescent="0.25">
      <c r="O40" s="1">
        <f t="shared" si="16"/>
        <v>74</v>
      </c>
      <c r="P40" s="6">
        <f t="shared" si="19"/>
        <v>0.43008403427644271</v>
      </c>
      <c r="Q40" s="11">
        <f t="shared" si="13"/>
        <v>21.061059956006957</v>
      </c>
      <c r="R40" s="24">
        <f>TREND(V36:V37,U36:U37,Q40)</f>
        <v>0.46826728052791639</v>
      </c>
      <c r="S40" s="6">
        <f t="shared" si="14"/>
        <v>4.2415770296570008</v>
      </c>
      <c r="U40" s="15">
        <f t="shared" si="17"/>
        <v>25</v>
      </c>
      <c r="V40" s="1">
        <v>0.39800000000000002</v>
      </c>
    </row>
    <row r="43" spans="15:23" x14ac:dyDescent="0.25">
      <c r="O43" s="18" t="s">
        <v>20</v>
      </c>
      <c r="P43" s="1">
        <f>PI()</f>
        <v>3.1415926535897931</v>
      </c>
    </row>
  </sheetData>
  <mergeCells count="5">
    <mergeCell ref="A1:B1"/>
    <mergeCell ref="A3:I3"/>
    <mergeCell ref="A2:I2"/>
    <mergeCell ref="K2:N2"/>
    <mergeCell ref="K3:N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Васко-5</vt:lpstr>
      <vt:lpstr>Васко-6</vt:lpstr>
      <vt:lpstr>Васко-7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Belkin</dc:creator>
  <cp:lastModifiedBy>zZzerOo</cp:lastModifiedBy>
  <dcterms:created xsi:type="dcterms:W3CDTF">2011-10-25T06:00:51Z</dcterms:created>
  <dcterms:modified xsi:type="dcterms:W3CDTF">2012-11-22T09:25:50Z</dcterms:modified>
</cp:coreProperties>
</file>